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9E05164F-815A-4C9B-9D9D-0E089175A6E4}" xr6:coauthVersionLast="36" xr6:coauthVersionMax="36" xr10:uidLastSave="{00000000-0000-0000-0000-000000000000}"/>
  <workbookProtection workbookAlgorithmName="SHA-512" workbookHashValue="W/Lfm0no5A9LRYHJmEMXZNmCC3ZtgjRPowdzAslJmPdnw1UJpa6l7Pkl/wGuADLaaO4EAV9xIMr0p45+kV7FiA==" workbookSaltValue="16kNCxQj6lF19DMEtYe4Ow=="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L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5" i="56" a="1"/>
  <c r="C12" i="56" a="1"/>
  <c r="C22" i="56" a="1"/>
  <c r="C28" i="56" a="1"/>
  <c r="C21" i="56" a="1"/>
  <c r="C30" i="56" a="1"/>
  <c r="C16" i="56" a="1"/>
  <c r="C31" i="56" a="1"/>
  <c r="C27" i="56" a="1"/>
  <c r="C9" i="56" a="1"/>
  <c r="C5" i="56" a="1"/>
  <c r="C36" i="56" a="1"/>
  <c r="C3" i="56" a="1"/>
  <c r="C35" i="56" a="1"/>
  <c r="C23" i="56" a="1"/>
  <c r="C34" i="56" a="1"/>
  <c r="C6" i="56" a="1"/>
  <c r="C7" i="56" a="1"/>
  <c r="C19" i="56" a="1"/>
  <c r="C10" i="56" a="1"/>
  <c r="C14" i="56" a="1"/>
  <c r="C38" i="56" a="1"/>
  <c r="C20" i="56" a="1"/>
  <c r="C33" i="56" a="1"/>
  <c r="C4" i="56" a="1"/>
  <c r="C11" i="56" a="1"/>
  <c r="C8" i="56" a="1"/>
  <c r="C37" i="56" a="1"/>
  <c r="C32" i="56" a="1"/>
  <c r="C26" i="56" a="1"/>
  <c r="C15" i="56" a="1"/>
  <c r="C24" i="56" a="1"/>
  <c r="C17" i="56" a="1"/>
  <c r="C18" i="56" a="1"/>
  <c r="C13"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<sst xmlns="http://schemas.openxmlformats.org/spreadsheetml/2006/main" count="45642" uniqueCount="8741">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</sst>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519">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0" fillId="7" borderId="22" xfId="0" applyFill="1" applyBorder="1" applyAlignment="1">
      <alignment horizontal="left" vertical="center" indent="4"/>
    </xf>
    <xf numFmtId="0" fontId="49" fillId="0" borderId="0" xfId="24" applyFill="1" applyBorder="1" applyAlignment="1" applyProtection="1">
      <alignment horizontal="left" vertical="center" wrapText="1"/>
      <protection hidden="1"/>
    </xf>
    <xf numFmtId="0" fontId="15" fillId="19" borderId="10" xfId="0" applyFont="1" applyFill="1" applyBorder="1" applyAlignment="1" applyProtection="1">
      <alignment horizontal="center" vertical="center" wrapText="1"/>
      <protection hidden="1"/>
    </xf>
    <xf numFmtId="0" fontId="50" fillId="0" borderId="0" xfId="0" applyFont="1" applyAlignment="1" applyProtection="1">
      <alignment horizontal="left" vertical="center" wrapText="1"/>
      <protection hidden="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0" fontId="0" fillId="0" borderId="0" xfId="0" applyNumberFormat="1"/>
    <xf numFmtId="0" fontId="0" fillId="7" borderId="22" xfId="0" applyFill="1" applyBorder="1" applyProtection="1"/>
    <xf numFmtId="0" fontId="0" fillId="0" borderId="0" xfId="0" applyProtection="1"/>
    <xf numFmtId="0" fontId="3" fillId="7" borderId="22" xfId="0" applyFont="1" applyFill="1" applyBorder="1" applyAlignment="1" applyProtection="1">
      <alignment horizontal="right"/>
    </xf>
    <xf numFmtId="14" fontId="3" fillId="7" borderId="22" xfId="0" applyNumberFormat="1" applyFont="1" applyFill="1" applyBorder="1" applyAlignment="1" applyProtection="1">
      <alignment horizontal="right"/>
    </xf>
    <xf numFmtId="0" fontId="14" fillId="0" borderId="0" xfId="0" applyFont="1" applyProtection="1"/>
    <xf numFmtId="0" fontId="0" fillId="0" borderId="0" xfId="0" applyAlignment="1" applyProtection="1">
      <alignment vertical="center"/>
    </xf>
    <xf numFmtId="0" fontId="0" fillId="7" borderId="22" xfId="0" applyFill="1" applyBorder="1" applyAlignment="1" applyProtection="1">
      <alignment horizontal="left" vertical="center" indent="4"/>
    </xf>
    <xf numFmtId="0" fontId="14" fillId="7" borderId="22" xfId="0" applyFont="1" applyFill="1" applyBorder="1" applyProtection="1"/>
    <xf numFmtId="0" fontId="0" fillId="0" borderId="22" xfId="0" applyBorder="1" applyProtection="1"/>
    <xf numFmtId="0" fontId="14" fillId="0" borderId="0" xfId="0" applyFont="1" applyAlignment="1" applyProtection="1">
      <alignment vertical="center"/>
    </xf>
    <xf numFmtId="0" fontId="0" fillId="0" borderId="0" xfId="0" applyAlignment="1" applyProtection="1">
      <alignment horizontal="left"/>
    </xf>
    <xf numFmtId="0" fontId="0" fillId="0" borderId="0" xfId="0" applyAlignment="1" applyProtection="1">
      <alignment horizontal="center" vertical="center"/>
    </xf>
    <xf numFmtId="0" fontId="14" fillId="0" borderId="0" xfId="0" applyFont="1" applyAlignment="1" applyProtection="1">
      <alignment horizontal="left"/>
    </xf>
    <xf numFmtId="0" fontId="17" fillId="0" borderId="0" xfId="0" applyFont="1" applyProtection="1"/>
    <xf numFmtId="0" fontId="14" fillId="3" borderId="0" xfId="0" applyFont="1" applyFill="1" applyProtection="1"/>
    <xf numFmtId="0" fontId="0" fillId="3" borderId="0" xfId="0" applyFill="1" applyProtection="1"/>
    <xf numFmtId="0" fontId="0" fillId="3" borderId="0" xfId="0" applyFill="1" applyAlignment="1" applyProtection="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3" borderId="0" xfId="0" applyFill="1"/>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0" fillId="7" borderId="22" xfId="0" applyFill="1" applyBorder="1" applyAlignment="1" applyProtection="1">
      <alignment horizontal="left" vertical="center" indent="4"/>
    </xf>
    <xf numFmtId="0" fontId="0" fillId="7" borderId="42" xfId="0" applyFill="1" applyBorder="1" applyAlignment="1" applyProtection="1">
      <alignment horizontal="left" vertical="center" indent="4"/>
    </xf>
    <xf numFmtId="0" fontId="0" fillId="7" borderId="43" xfId="0" applyFill="1" applyBorder="1" applyAlignment="1" applyProtection="1">
      <alignment horizontal="left" vertical="center" indent="4"/>
    </xf>
    <xf numFmtId="0" fontId="0" fillId="7" borderId="22" xfId="0" applyFill="1" applyBorder="1" applyAlignment="1" applyProtection="1">
      <alignment horizontal="left" vertical="center"/>
    </xf>
    <xf numFmtId="0" fontId="17" fillId="21" borderId="42" xfId="0" applyFont="1" applyFill="1" applyBorder="1" applyAlignment="1" applyProtection="1">
      <alignment horizontal="left" vertical="center" indent="4"/>
    </xf>
    <xf numFmtId="0" fontId="17" fillId="7" borderId="42" xfId="0" applyFont="1" applyFill="1" applyBorder="1" applyAlignment="1" applyProtection="1">
      <alignment horizontal="left" vertical="center" indent="4"/>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pplyProtection="1">
      <alignment horizontal="center" vertical="center"/>
    </xf>
    <xf numFmtId="0" fontId="0" fillId="3" borderId="18" xfId="0"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38" xfId="0" applyFill="1" applyBorder="1" applyAlignment="1" applyProtection="1">
      <alignment horizontal="center" vertical="center"/>
    </xf>
    <xf numFmtId="0" fontId="0" fillId="3" borderId="24" xfId="0" applyFill="1" applyBorder="1" applyAlignment="1" applyProtection="1">
      <alignment horizontal="center" vertical="center"/>
    </xf>
    <xf numFmtId="0" fontId="0" fillId="3" borderId="39" xfId="0" applyFill="1" applyBorder="1" applyAlignment="1" applyProtection="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0" fillId="42" borderId="11" xfId="0" applyFill="1" applyBorder="1" applyAlignment="1" applyProtection="1">
      <alignment horizontal="center" vertical="center" wrapText="1"/>
    </xf>
    <xf numFmtId="0" fontId="0" fillId="42" borderId="12" xfId="0" applyFill="1" applyBorder="1" applyAlignment="1" applyProtection="1">
      <alignment horizontal="center" vertical="center" wrapText="1"/>
    </xf>
    <xf numFmtId="0" fontId="0" fillId="42" borderId="13" xfId="0" applyFill="1" applyBorder="1" applyAlignment="1" applyProtection="1">
      <alignment horizontal="center" vertical="center" wrapText="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5" fillId="19" borderId="10" xfId="0" applyFont="1" applyFill="1" applyBorder="1" applyAlignment="1" applyProtection="1">
      <alignment horizontal="center" vertical="center"/>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28" fillId="0" borderId="0" xfId="0" applyFont="1" applyAlignment="1" applyProtection="1">
      <alignment horizontal="center" vertical="top"/>
    </xf>
    <xf numFmtId="0" fontId="28" fillId="0" borderId="0" xfId="0" applyFont="1" applyAlignment="1" applyProtection="1">
      <alignment horizontal="center"/>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784787" y="5469366"/>
          <a:ext cx="2790260"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03837" y="11485469"/>
          <a:ext cx="2890557"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783729" y="9546540"/>
          <a:ext cx="2790260"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9080" y="0"/>
          <a:ext cx="9273540"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066928" y="600637"/>
          <a:ext cx="3056963"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24833" y="3355377"/>
          <a:ext cx="4881059" cy="741494"/>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22928" y="3357282"/>
          <a:ext cx="4881956" cy="1116891"/>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24833" y="3355377"/>
          <a:ext cx="4880051" cy="741494"/>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22928" y="3357282"/>
          <a:ext cx="4864811" cy="1116891"/>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22928" y="3357282"/>
          <a:ext cx="4864811" cy="1116891"/>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17521" y="580463"/>
          <a:ext cx="1685366"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22928" y="3357282"/>
          <a:ext cx="4864811" cy="1116891"/>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22928" y="3357282"/>
          <a:ext cx="4864811" cy="1135941"/>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22928" y="3357282"/>
          <a:ext cx="4864811" cy="1116891"/>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22928" y="3357282"/>
          <a:ext cx="4864811" cy="1116891"/>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22928" y="3357282"/>
          <a:ext cx="4864811" cy="1116891"/>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22928" y="3357282"/>
          <a:ext cx="4864811" cy="1116891"/>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22928" y="3357282"/>
          <a:ext cx="4868621" cy="1120701"/>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24833" y="3357282"/>
          <a:ext cx="4880051" cy="1121038"/>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24833" y="3357282"/>
          <a:ext cx="4880051" cy="1121038"/>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24833" y="3357282"/>
          <a:ext cx="4880051" cy="1121038"/>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24833" y="3357282"/>
          <a:ext cx="4880051" cy="1121038"/>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24833" y="3357282"/>
          <a:ext cx="4880051" cy="1121038"/>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24833" y="3357282"/>
          <a:ext cx="4880051" cy="1121038"/>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24833" y="3357282"/>
          <a:ext cx="4880051" cy="1121038"/>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24833" y="3357282"/>
          <a:ext cx="4880051" cy="1121038"/>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24833" y="3357282"/>
          <a:ext cx="4880051" cy="1121038"/>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24833" y="3357282"/>
          <a:ext cx="4880051" cy="1121038"/>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24833" y="3357282"/>
          <a:ext cx="4880051" cy="1121038"/>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24833" y="3357282"/>
          <a:ext cx="4880051" cy="1121038"/>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24833" y="3357282"/>
          <a:ext cx="4880051" cy="1121038"/>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24833" y="3357282"/>
          <a:ext cx="4880051" cy="1121038"/>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24833" y="3357282"/>
          <a:ext cx="4880051" cy="1121038"/>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24833" y="3357282"/>
          <a:ext cx="4880051" cy="1121038"/>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24833" y="2662517"/>
          <a:ext cx="4880051" cy="748553"/>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24833" y="2662517"/>
          <a:ext cx="4880051" cy="1127761"/>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24833" y="2662517"/>
          <a:ext cx="4880051" cy="1127761"/>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24833" y="3343835"/>
          <a:ext cx="4880051"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24833" y="3357282"/>
          <a:ext cx="4880051" cy="1121038"/>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24833" y="3357282"/>
          <a:ext cx="4880051" cy="1121038"/>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24833" y="3357282"/>
          <a:ext cx="4880051" cy="1121038"/>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24833" y="2641226"/>
          <a:ext cx="4880051" cy="769844"/>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24833" y="3327026"/>
          <a:ext cx="4880051" cy="1648834"/>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24833" y="3327026"/>
          <a:ext cx="4880051" cy="1146251"/>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24833" y="3327026"/>
          <a:ext cx="4880051" cy="1154655"/>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24833" y="3327026"/>
          <a:ext cx="4880051" cy="1154655"/>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24833" y="3327026"/>
          <a:ext cx="4880051" cy="1154655"/>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24833" y="2641226"/>
          <a:ext cx="4880051" cy="769844"/>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24833" y="2641226"/>
          <a:ext cx="4880051" cy="1151852"/>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24833" y="2641226"/>
          <a:ext cx="4880051" cy="1151852"/>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24833" y="3327026"/>
          <a:ext cx="4880051" cy="1654996"/>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24833" y="2641226"/>
          <a:ext cx="4880051" cy="769844"/>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24833" y="3327026"/>
          <a:ext cx="4880051" cy="1653875"/>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24833" y="3327026"/>
          <a:ext cx="4880051" cy="1151292"/>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24833" y="3327026"/>
          <a:ext cx="4880051" cy="1151292"/>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24833" y="3327026"/>
          <a:ext cx="4880051" cy="1151292"/>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24833" y="2641226"/>
          <a:ext cx="4880051" cy="769844"/>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24833" y="2641226"/>
          <a:ext cx="4880051" cy="1149610"/>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24833" y="3327026"/>
          <a:ext cx="4880051" cy="1652754"/>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206" t="s">
        <v>177</v>
      </c>
      <c r="C1" s="207"/>
      <c r="D1" s="207"/>
      <c r="E1" s="207"/>
      <c r="F1" s="207"/>
      <c r="G1" s="207"/>
      <c r="H1" s="207"/>
      <c r="I1" s="207"/>
      <c r="J1" s="207"/>
      <c r="K1" s="207"/>
      <c r="L1" s="207"/>
      <c r="M1" s="207"/>
      <c r="N1" s="207"/>
      <c r="O1" s="32" t="s">
        <v>260</v>
      </c>
      <c r="P1" t="s">
        <v>158</v>
      </c>
      <c r="Q1" t="s">
        <v>171</v>
      </c>
      <c r="AA1" t="s">
        <v>192</v>
      </c>
    </row>
    <row r="2" spans="1:27">
      <c r="B2" s="206"/>
      <c r="C2" s="207"/>
      <c r="D2" s="207"/>
      <c r="E2" s="207"/>
      <c r="F2" s="207"/>
      <c r="G2" s="207"/>
      <c r="H2" s="207"/>
      <c r="I2" s="207"/>
      <c r="J2" s="207"/>
      <c r="K2" s="207"/>
      <c r="L2" s="207"/>
      <c r="M2" s="207"/>
      <c r="N2" s="207"/>
      <c r="O2" s="32" t="s">
        <v>102</v>
      </c>
      <c r="P2" t="s">
        <v>275</v>
      </c>
      <c r="Q2" t="s">
        <v>174</v>
      </c>
      <c r="AA2">
        <v>1</v>
      </c>
    </row>
    <row r="3" spans="1:27">
      <c r="A3" s="30" t="s">
        <v>176</v>
      </c>
      <c r="B3" s="208" t="s">
        <v>178</v>
      </c>
      <c r="C3" s="209"/>
      <c r="D3" s="209"/>
      <c r="E3" s="209"/>
      <c r="F3" s="209"/>
      <c r="G3" s="209"/>
      <c r="H3" s="209"/>
      <c r="I3" s="209"/>
      <c r="J3" s="209"/>
      <c r="K3" s="209"/>
      <c r="L3" s="209"/>
      <c r="M3" s="209"/>
      <c r="N3" s="209"/>
    </row>
    <row r="4" spans="1:27">
      <c r="A4" s="31">
        <v>44900</v>
      </c>
      <c r="B4" s="208"/>
      <c r="C4" s="209"/>
      <c r="D4" s="209"/>
      <c r="E4" s="209"/>
      <c r="F4" s="209"/>
      <c r="G4" s="209"/>
      <c r="H4" s="209"/>
      <c r="I4" s="209"/>
      <c r="J4" s="209"/>
      <c r="K4" s="209"/>
      <c r="L4" s="209"/>
      <c r="M4" s="209"/>
      <c r="N4" s="209"/>
    </row>
    <row r="5" spans="1:27">
      <c r="A5" s="210" t="s">
        <v>170</v>
      </c>
    </row>
    <row r="6" spans="1:27">
      <c r="A6" s="210"/>
    </row>
    <row r="7" spans="1:27">
      <c r="A7" s="210"/>
    </row>
    <row r="8" spans="1:27" ht="15">
      <c r="A8" s="197" t="s">
        <v>162</v>
      </c>
      <c r="C8" s="198" t="s">
        <v>179</v>
      </c>
      <c r="D8" s="198"/>
      <c r="E8" s="198"/>
      <c r="F8" s="198"/>
      <c r="G8" s="198"/>
      <c r="H8" s="198"/>
      <c r="I8" s="198"/>
      <c r="J8" s="198"/>
      <c r="K8" s="198"/>
      <c r="L8" s="198"/>
      <c r="M8" s="198"/>
      <c r="N8" s="198"/>
    </row>
    <row r="9" spans="1:27">
      <c r="A9" s="197"/>
      <c r="C9" s="199" t="s">
        <v>261</v>
      </c>
      <c r="D9" s="199"/>
      <c r="E9" s="199"/>
      <c r="F9" s="199"/>
      <c r="G9" s="203" t="s">
        <v>262</v>
      </c>
      <c r="H9" s="204"/>
      <c r="I9" s="204"/>
      <c r="J9" s="205"/>
      <c r="K9" s="200" t="s">
        <v>180</v>
      </c>
      <c r="L9" s="200"/>
      <c r="M9" s="200"/>
      <c r="N9" s="200"/>
    </row>
    <row r="10" spans="1:27">
      <c r="A10" s="211" t="s">
        <v>169</v>
      </c>
      <c r="C10" s="201" t="s">
        <v>256</v>
      </c>
      <c r="D10" s="201"/>
      <c r="E10" s="201"/>
      <c r="F10" s="201"/>
      <c r="G10" s="202" t="s">
        <v>257</v>
      </c>
      <c r="H10" s="202"/>
      <c r="I10" s="202"/>
      <c r="J10" s="202"/>
      <c r="K10" s="202" t="s">
        <v>258</v>
      </c>
      <c r="L10" s="202"/>
      <c r="M10" s="202"/>
      <c r="N10" s="202"/>
    </row>
    <row r="11" spans="1:27">
      <c r="A11" s="211"/>
      <c r="C11" s="201"/>
      <c r="D11" s="201"/>
      <c r="E11" s="201"/>
      <c r="F11" s="201"/>
      <c r="G11" s="202"/>
      <c r="H11" s="202"/>
      <c r="I11" s="202"/>
      <c r="J11" s="202"/>
      <c r="K11" s="202"/>
      <c r="L11" s="202"/>
      <c r="M11" s="202"/>
      <c r="N11" s="202"/>
    </row>
    <row r="12" spans="1:27">
      <c r="A12" s="196" t="s">
        <v>163</v>
      </c>
      <c r="C12" s="201"/>
      <c r="D12" s="201"/>
      <c r="E12" s="201"/>
      <c r="F12" s="201"/>
      <c r="G12" s="202"/>
      <c r="H12" s="202"/>
      <c r="I12" s="202"/>
      <c r="J12" s="202"/>
      <c r="K12" s="202"/>
      <c r="L12" s="202"/>
      <c r="M12" s="202"/>
      <c r="N12" s="202"/>
    </row>
    <row r="13" spans="1:27">
      <c r="A13" s="196"/>
      <c r="C13" s="201"/>
      <c r="D13" s="201"/>
      <c r="E13" s="201"/>
      <c r="F13" s="201"/>
      <c r="G13" s="202"/>
      <c r="H13" s="202"/>
      <c r="I13" s="202"/>
      <c r="J13" s="202"/>
      <c r="K13" s="202"/>
      <c r="L13" s="202"/>
      <c r="M13" s="202"/>
      <c r="N13" s="202"/>
    </row>
    <row r="14" spans="1:27">
      <c r="A14" s="196" t="s">
        <v>259</v>
      </c>
      <c r="C14" s="201"/>
      <c r="D14" s="201"/>
      <c r="E14" s="201"/>
      <c r="F14" s="201"/>
      <c r="G14" s="202"/>
      <c r="H14" s="202"/>
      <c r="I14" s="202"/>
      <c r="J14" s="202"/>
      <c r="K14" s="202"/>
      <c r="L14" s="202"/>
      <c r="M14" s="202"/>
      <c r="N14" s="202"/>
    </row>
    <row r="15" spans="1:27">
      <c r="A15" s="196"/>
      <c r="C15" s="201"/>
      <c r="D15" s="201"/>
      <c r="E15" s="201"/>
      <c r="F15" s="201"/>
      <c r="G15" s="202"/>
      <c r="H15" s="202"/>
      <c r="I15" s="202"/>
      <c r="J15" s="202"/>
      <c r="K15" s="202"/>
      <c r="L15" s="202"/>
      <c r="M15" s="202"/>
      <c r="N15" s="202"/>
    </row>
    <row r="16" spans="1:27">
      <c r="A16" s="196" t="s">
        <v>164</v>
      </c>
      <c r="C16" s="201"/>
      <c r="D16" s="201"/>
      <c r="E16" s="201"/>
      <c r="F16" s="201"/>
      <c r="G16" s="202"/>
      <c r="H16" s="202"/>
      <c r="I16" s="202"/>
      <c r="J16" s="202"/>
      <c r="K16" s="202"/>
      <c r="L16" s="202"/>
      <c r="M16" s="202"/>
      <c r="N16" s="202"/>
    </row>
    <row r="17" spans="1:14">
      <c r="A17" s="196"/>
      <c r="C17" s="201"/>
      <c r="D17" s="201"/>
      <c r="E17" s="201"/>
      <c r="F17" s="201"/>
      <c r="G17" s="202"/>
      <c r="H17" s="202"/>
      <c r="I17" s="202"/>
      <c r="J17" s="202"/>
      <c r="K17" s="202"/>
      <c r="L17" s="202"/>
      <c r="M17" s="202"/>
      <c r="N17" s="202"/>
    </row>
    <row r="18" spans="1:14">
      <c r="A18" s="196" t="s">
        <v>246</v>
      </c>
      <c r="C18" s="199"/>
      <c r="D18" s="199"/>
      <c r="E18" s="199"/>
      <c r="F18" s="199"/>
      <c r="G18" s="200"/>
      <c r="H18" s="200"/>
      <c r="I18" s="200"/>
      <c r="J18" s="200"/>
      <c r="K18" s="200"/>
      <c r="L18" s="200"/>
      <c r="M18" s="200"/>
      <c r="N18" s="200"/>
    </row>
    <row r="19" spans="1:14">
      <c r="A19" s="196"/>
      <c r="C19" s="199"/>
      <c r="D19" s="199"/>
      <c r="E19" s="199"/>
      <c r="F19" s="199"/>
      <c r="G19" s="200"/>
      <c r="H19" s="200"/>
      <c r="I19" s="200"/>
      <c r="J19" s="200"/>
      <c r="K19" s="200"/>
      <c r="L19" s="200"/>
      <c r="M19" s="200"/>
      <c r="N19" s="200"/>
    </row>
    <row r="20" spans="1:14">
      <c r="A20" s="197" t="s">
        <v>165</v>
      </c>
      <c r="C20" s="199"/>
      <c r="D20" s="199"/>
      <c r="E20" s="199"/>
      <c r="F20" s="199"/>
      <c r="G20" s="200"/>
      <c r="H20" s="200"/>
      <c r="I20" s="200"/>
      <c r="J20" s="200"/>
      <c r="K20" s="200"/>
      <c r="L20" s="200"/>
      <c r="M20" s="200"/>
      <c r="N20" s="200"/>
    </row>
    <row r="21" spans="1:14">
      <c r="A21" s="197"/>
      <c r="C21" s="199"/>
      <c r="D21" s="199"/>
      <c r="E21" s="199"/>
      <c r="F21" s="199"/>
      <c r="G21" s="200"/>
      <c r="H21" s="200"/>
      <c r="I21" s="200"/>
      <c r="J21" s="200"/>
      <c r="K21" s="200"/>
      <c r="L21" s="200"/>
      <c r="M21" s="200"/>
      <c r="N21" s="200"/>
    </row>
    <row r="22" spans="1:14">
      <c r="A22" s="196" t="s">
        <v>166</v>
      </c>
    </row>
    <row r="23" spans="1:14">
      <c r="A23" s="196"/>
    </row>
    <row r="24" spans="1:14">
      <c r="A24" s="197" t="s">
        <v>167</v>
      </c>
    </row>
    <row r="25" spans="1:14">
      <c r="A25" s="197"/>
    </row>
    <row r="26" spans="1:14">
      <c r="A26" s="196" t="s">
        <v>168</v>
      </c>
    </row>
    <row r="27" spans="1:14">
      <c r="A27" s="196"/>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xS38/fPAkfVWv8sBKf5fKDrC94tzaUW6s6ek/y/A2cAJ6uxpzVA5fTWjOFuGtmAGvmOEtTNyXoK8cugwoRUxFA==" saltValue="cstaVWs7LnsGHEIfiw50GQ=="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75" t="s">
        <v>1</v>
      </c>
      <c r="L9" s="475"/>
      <c r="M9" s="475"/>
      <c r="N9" s="475"/>
      <c r="O9" s="463" t="s">
        <v>103</v>
      </c>
      <c r="P9" s="464"/>
      <c r="Q9" s="464"/>
      <c r="R9" s="465"/>
      <c r="S9" s="463" t="s">
        <v>121</v>
      </c>
      <c r="T9" s="464"/>
      <c r="U9" s="464"/>
      <c r="V9" s="465"/>
      <c r="W9" s="475" t="s">
        <v>113</v>
      </c>
      <c r="X9" s="475"/>
      <c r="Y9" s="475"/>
      <c r="Z9" s="475"/>
      <c r="AA9" s="463" t="s">
        <v>93</v>
      </c>
      <c r="AB9" s="464"/>
      <c r="AC9" s="465"/>
      <c r="AD9" s="463" t="s">
        <v>94</v>
      </c>
      <c r="AE9" s="464"/>
      <c r="AF9" s="465"/>
      <c r="AK9" s="23" t="s">
        <v>263</v>
      </c>
      <c r="AL9" s="470" t="s">
        <v>268</v>
      </c>
      <c r="AM9" s="470"/>
      <c r="AN9" s="470"/>
      <c r="AO9" s="470"/>
      <c r="AT9" s="459" t="s">
        <v>112</v>
      </c>
      <c r="AU9" s="460"/>
      <c r="AV9" s="461"/>
      <c r="AW9" s="462"/>
      <c r="AX9" s="462"/>
      <c r="AY9" s="462"/>
      <c r="AZ9" s="462"/>
      <c r="BA9" s="462"/>
      <c r="BB9" s="462"/>
      <c r="BJ9" s="467" t="s">
        <v>266</v>
      </c>
      <c r="BK9" s="468"/>
      <c r="BL9" s="469"/>
      <c r="BM9" s="452" t="s">
        <v>267</v>
      </c>
      <c r="BN9" s="453"/>
      <c r="BO9" s="453"/>
      <c r="BW9" s="467" t="s">
        <v>266</v>
      </c>
      <c r="BX9" s="468"/>
      <c r="BY9" s="469"/>
      <c r="BZ9" s="452" t="s">
        <v>269</v>
      </c>
      <c r="CA9" s="453"/>
      <c r="CB9" s="453"/>
      <c r="CJ9" s="466" t="s">
        <v>134</v>
      </c>
      <c r="CK9" s="466"/>
      <c r="CL9" s="466"/>
      <c r="CM9" s="466"/>
      <c r="CN9" s="466"/>
      <c r="CO9" s="486"/>
      <c r="CP9" s="486"/>
      <c r="CQ9" s="486"/>
      <c r="CR9" s="486"/>
      <c r="CS9" s="486"/>
      <c r="CT9" s="486"/>
      <c r="CU9" s="486"/>
      <c r="DB9" s="456" t="s">
        <v>138</v>
      </c>
      <c r="DC9" s="457"/>
      <c r="DD9" s="458"/>
      <c r="DE9" s="456" t="s">
        <v>136</v>
      </c>
      <c r="DF9" s="457"/>
      <c r="DG9" s="458"/>
      <c r="DH9" s="456" t="s">
        <v>135</v>
      </c>
      <c r="DI9" s="457"/>
      <c r="DJ9" s="458"/>
      <c r="DK9" s="456" t="s">
        <v>137</v>
      </c>
      <c r="DL9" s="457"/>
      <c r="DM9" s="458"/>
      <c r="DS9" s="456" t="s">
        <v>138</v>
      </c>
      <c r="DT9" s="457"/>
      <c r="DU9" s="458"/>
      <c r="DV9" s="456" t="s">
        <v>136</v>
      </c>
      <c r="DW9" s="457"/>
      <c r="DX9" s="458"/>
      <c r="DY9" s="456" t="s">
        <v>135</v>
      </c>
      <c r="DZ9" s="457"/>
      <c r="EA9" s="458"/>
      <c r="EB9" s="456" t="s">
        <v>150</v>
      </c>
      <c r="EC9" s="457"/>
      <c r="ED9" s="458"/>
      <c r="EE9" s="456" t="s">
        <v>155</v>
      </c>
      <c r="EF9" s="457"/>
      <c r="EG9" s="458"/>
      <c r="EJ9" s="452" t="s">
        <v>154</v>
      </c>
      <c r="EK9" s="453"/>
      <c r="EL9" s="453"/>
      <c r="EM9" s="453"/>
      <c r="EN9" s="453"/>
      <c r="EO9" s="453"/>
      <c r="EP9" s="453"/>
      <c r="EQ9" s="453"/>
      <c r="EY9" s="489" t="s">
        <v>145</v>
      </c>
      <c r="EZ9" s="490"/>
      <c r="FA9" s="490"/>
      <c r="FB9" s="490"/>
      <c r="FC9" s="491"/>
      <c r="FD9" s="396"/>
      <c r="FE9" s="396"/>
      <c r="FF9" s="396"/>
      <c r="FG9" s="396"/>
      <c r="FH9" s="396"/>
      <c r="FI9" s="396"/>
      <c r="FJ9" s="396"/>
      <c r="FK9" s="396"/>
      <c r="FS9" s="250" t="s">
        <v>1388</v>
      </c>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52"/>
      <c r="GV9" s="52"/>
      <c r="GW9" s="52"/>
      <c r="GX9" s="52"/>
      <c r="GY9" s="52"/>
      <c r="GZ9" s="250" t="s">
        <v>1389</v>
      </c>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52"/>
      <c r="IC9" s="52"/>
      <c r="ID9" s="52"/>
      <c r="IE9" s="52"/>
      <c r="IF9" s="52"/>
      <c r="IG9" s="250" t="s">
        <v>4063</v>
      </c>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K9" s="494" t="s">
        <v>177</v>
      </c>
      <c r="JL9" s="494"/>
      <c r="JM9" s="494"/>
      <c r="JN9" s="494"/>
      <c r="JO9" s="494"/>
      <c r="JP9" s="494"/>
      <c r="JQ9" s="494"/>
      <c r="JR9" s="494"/>
      <c r="JS9" s="494"/>
      <c r="JT9" s="494"/>
      <c r="JU9" s="494"/>
      <c r="JV9" s="494"/>
      <c r="JW9" s="494"/>
      <c r="JX9" s="494"/>
      <c r="JY9" s="494"/>
      <c r="JZ9" s="494"/>
      <c r="KA9" s="494"/>
      <c r="KB9" s="494"/>
      <c r="KC9" s="494"/>
      <c r="KD9" s="494"/>
      <c r="KE9" s="494"/>
      <c r="KF9" s="494"/>
      <c r="KG9" s="494"/>
      <c r="KN9" s="492" t="s">
        <v>251</v>
      </c>
      <c r="KO9" s="492"/>
      <c r="KP9" s="492"/>
      <c r="KQ9" s="492"/>
      <c r="KR9" s="492"/>
      <c r="KS9" s="493" t="s">
        <v>252</v>
      </c>
      <c r="KT9" s="493"/>
      <c r="KU9" s="493"/>
      <c r="KV9" s="493"/>
      <c r="KW9" s="493"/>
      <c r="KX9" s="492" t="s">
        <v>253</v>
      </c>
      <c r="KY9" s="492"/>
      <c r="KZ9" s="492"/>
      <c r="LA9" s="492"/>
      <c r="LB9" s="492"/>
      <c r="LC9" s="35"/>
      <c r="LD9" s="35"/>
      <c r="LE9" s="35"/>
      <c r="LF9" s="35"/>
      <c r="LG9" s="35"/>
      <c r="LH9" s="492" t="s">
        <v>251</v>
      </c>
      <c r="LI9" s="492"/>
      <c r="LJ9" s="493" t="s">
        <v>254</v>
      </c>
      <c r="LK9" s="493"/>
      <c r="LL9" s="35"/>
      <c r="LM9" s="35"/>
      <c r="LN9" s="35"/>
      <c r="LO9" s="35"/>
      <c r="LP9" s="43"/>
      <c r="LQ9" s="492" t="s">
        <v>255</v>
      </c>
      <c r="LR9" s="492"/>
      <c r="LS9" s="492"/>
      <c r="LT9" s="493" t="s">
        <v>253</v>
      </c>
      <c r="LU9" s="493"/>
      <c r="LV9" s="493"/>
      <c r="LZ9" s="423" t="s">
        <v>1316</v>
      </c>
      <c r="MA9" s="424"/>
      <c r="MB9" s="496"/>
      <c r="MC9" s="496"/>
      <c r="MD9" s="496"/>
      <c r="MI9" s="271" t="s">
        <v>3085</v>
      </c>
      <c r="MJ9" s="271"/>
      <c r="MK9" s="271"/>
      <c r="ML9" s="271" t="s">
        <v>1322</v>
      </c>
      <c r="MM9" s="271"/>
      <c r="MN9" s="271"/>
      <c r="MO9" s="271" t="s">
        <v>1447</v>
      </c>
      <c r="MP9" s="271"/>
      <c r="MQ9" s="271"/>
      <c r="MR9" s="497" t="s">
        <v>1323</v>
      </c>
      <c r="MS9" s="498"/>
      <c r="MT9" s="498"/>
      <c r="MU9" s="497" t="s">
        <v>1324</v>
      </c>
      <c r="MV9" s="498"/>
      <c r="MW9" s="498"/>
      <c r="MX9" s="497" t="s">
        <v>1353</v>
      </c>
      <c r="MY9" s="498"/>
      <c r="MZ9" s="498"/>
      <c r="NH9" s="271" t="s">
        <v>1323</v>
      </c>
      <c r="NI9" s="271"/>
      <c r="NJ9" s="271"/>
      <c r="NK9" s="371">
        <f ca="1">+SUM(OFFSET(NH$1,0,3,MATCH("Subtotal",NH:NH,0)-1))</f>
        <v>0</v>
      </c>
      <c r="NL9" s="371"/>
      <c r="NM9" s="371"/>
      <c r="NN9" s="371"/>
      <c r="NV9" s="271" t="s">
        <v>1323</v>
      </c>
      <c r="NW9" s="271"/>
      <c r="NX9" s="271"/>
      <c r="NY9" s="371">
        <f ca="1">+SUM(OFFSET(NV$1,0,3,MATCH("Subtotal",NV:NV,0)-1))</f>
        <v>0</v>
      </c>
      <c r="NZ9" s="371"/>
      <c r="OA9" s="371"/>
      <c r="OB9" s="371"/>
      <c r="OH9" s="136"/>
      <c r="OI9" s="136"/>
      <c r="OJ9" s="136"/>
      <c r="OK9" s="136"/>
      <c r="OL9" s="136"/>
      <c r="OP9" s="381" t="s">
        <v>3924</v>
      </c>
      <c r="OQ9" s="381"/>
      <c r="OR9" s="381"/>
      <c r="OS9" s="381" t="s">
        <v>1449</v>
      </c>
      <c r="OT9" s="381"/>
      <c r="OU9" s="381"/>
      <c r="OV9" s="381" t="s">
        <v>1351</v>
      </c>
      <c r="OW9" s="381"/>
      <c r="OX9" s="381" t="s">
        <v>1648</v>
      </c>
      <c r="OY9" s="381"/>
      <c r="OZ9" s="381"/>
      <c r="PA9" s="381" t="s">
        <v>1352</v>
      </c>
      <c r="PB9" s="381"/>
      <c r="PC9" s="381"/>
      <c r="PD9" s="381" t="s">
        <v>1324</v>
      </c>
      <c r="PE9" s="381"/>
      <c r="PF9" s="381" t="s">
        <v>1450</v>
      </c>
      <c r="PG9" s="381"/>
      <c r="PH9" s="381" t="s">
        <v>1354</v>
      </c>
      <c r="PI9" s="381"/>
      <c r="PJ9" s="381"/>
      <c r="PK9" s="381" t="s">
        <v>1353</v>
      </c>
      <c r="PL9" s="381"/>
      <c r="PM9" s="381"/>
      <c r="PS9" s="136"/>
      <c r="PT9" s="136"/>
      <c r="PU9" s="136"/>
      <c r="PV9" s="136"/>
      <c r="PW9" s="136"/>
      <c r="QA9" s="381" t="s">
        <v>1322</v>
      </c>
      <c r="QB9" s="381"/>
      <c r="QC9" s="381"/>
      <c r="QD9" s="381" t="s">
        <v>1449</v>
      </c>
      <c r="QE9" s="381"/>
      <c r="QF9" s="381"/>
      <c r="QG9" s="381" t="s">
        <v>3926</v>
      </c>
      <c r="QH9" s="381"/>
      <c r="QI9" s="381" t="s">
        <v>3927</v>
      </c>
      <c r="QJ9" s="381"/>
      <c r="QK9" s="381"/>
      <c r="QL9" s="381" t="s">
        <v>1352</v>
      </c>
      <c r="QM9" s="381"/>
      <c r="QN9" s="381"/>
      <c r="QO9" s="381" t="s">
        <v>1324</v>
      </c>
      <c r="QP9" s="381"/>
      <c r="QQ9" s="381" t="s">
        <v>1450</v>
      </c>
      <c r="QR9" s="381"/>
      <c r="QS9" s="381" t="s">
        <v>1354</v>
      </c>
      <c r="QT9" s="381"/>
      <c r="QU9" s="381"/>
      <c r="QV9" s="381" t="s">
        <v>1353</v>
      </c>
      <c r="QW9" s="381"/>
      <c r="QX9" s="381"/>
      <c r="RE9" s="385" t="s">
        <v>145</v>
      </c>
      <c r="RF9" s="386"/>
      <c r="RG9" s="386"/>
      <c r="RH9" s="387"/>
      <c r="RI9" s="387"/>
      <c r="RJ9" s="387"/>
      <c r="RK9" s="387"/>
      <c r="RL9" s="387"/>
      <c r="RM9" s="387"/>
      <c r="RN9" s="387"/>
      <c r="RO9" s="387"/>
      <c r="RP9" s="387"/>
      <c r="RQ9" s="387"/>
      <c r="RR9" s="387"/>
      <c r="RY9" s="450" t="s">
        <v>1359</v>
      </c>
      <c r="RZ9" s="451"/>
      <c r="SA9" s="451"/>
      <c r="SB9" s="371">
        <f ca="1">+SUM($AV$33:INDIRECT("AV"&amp;ROW()-1))</f>
        <v>0</v>
      </c>
      <c r="SC9" s="371"/>
      <c r="SD9" s="371"/>
      <c r="SE9" s="450" t="s">
        <v>1359</v>
      </c>
      <c r="SF9" s="451"/>
      <c r="SG9" s="451"/>
      <c r="SH9" s="451"/>
      <c r="SI9" s="371">
        <f ca="1">+SUM($BC$33:INDIRECT("BC"&amp;ROW()-1))</f>
        <v>0</v>
      </c>
      <c r="SJ9" s="371"/>
      <c r="SK9" s="371"/>
      <c r="SL9" s="371">
        <f ca="1">+SUM($BF$33:INDIRECT("BF"&amp;ROW()-1))</f>
        <v>0</v>
      </c>
      <c r="SM9" s="371"/>
      <c r="SN9" s="371"/>
      <c r="TC9" s="285" t="s">
        <v>170</v>
      </c>
      <c r="TQ9" s="76">
        <f>+IF(TQ8="Ítem",1,ROW()-29)</f>
        <v>-20</v>
      </c>
      <c r="TR9" s="436" t="str">
        <f>IFERROR(INDEX(Cat_Filtro1!$A:$D,MATCH(TT9,Cat_Filtro1!$D:$D,0),3),"")</f>
        <v/>
      </c>
      <c r="TS9" s="436"/>
      <c r="TT9" s="436" t="str">
        <f>+IFERROR(VLOOKUP(UJ8,Listas!$BU:$BV,2,FALSE),"")</f>
        <v/>
      </c>
      <c r="TU9" s="436"/>
      <c r="TV9" s="436"/>
      <c r="TW9" s="436"/>
      <c r="TX9" s="436"/>
      <c r="TY9" s="436"/>
      <c r="TZ9" s="436"/>
      <c r="UA9" s="436" t="s">
        <v>102</v>
      </c>
      <c r="UB9" s="436"/>
      <c r="UC9" s="434" t="s">
        <v>102</v>
      </c>
      <c r="UD9" s="435"/>
      <c r="UE9" s="434" t="s">
        <v>102</v>
      </c>
      <c r="UF9" s="435"/>
      <c r="UG9" s="449"/>
      <c r="UH9" s="434" t="s">
        <v>102</v>
      </c>
      <c r="UI9" s="435"/>
      <c r="UJ9" s="434" t="s">
        <v>102</v>
      </c>
      <c r="UK9" s="435"/>
      <c r="UL9" s="436" t="s">
        <v>102</v>
      </c>
      <c r="UM9" s="436"/>
      <c r="UN9" s="434" t="s">
        <v>102</v>
      </c>
      <c r="UO9" s="435"/>
      <c r="UP9" s="449"/>
      <c r="UQ9" s="307"/>
      <c r="UR9" s="307"/>
      <c r="UT9" s="32" t="s">
        <v>1384</v>
      </c>
      <c r="VK9" s="76">
        <f>+IF(VK8="Ítem",1,ROW()-29)</f>
        <v>-20</v>
      </c>
      <c r="VL9" s="504"/>
      <c r="VM9" s="504"/>
      <c r="VN9" s="436" t="str">
        <f>+IFERROR(VLOOKUP(VL9,Cat_Filtro1!$C:$D,2,FALSE),"")</f>
        <v/>
      </c>
      <c r="VO9" s="436"/>
      <c r="VP9" s="436"/>
      <c r="VQ9" s="436"/>
      <c r="VR9" s="436"/>
      <c r="VS9" s="436"/>
      <c r="VT9" s="436"/>
      <c r="VU9" s="436" t="s">
        <v>102</v>
      </c>
      <c r="VV9" s="436"/>
      <c r="VW9" s="434" t="s">
        <v>102</v>
      </c>
      <c r="VX9" s="435"/>
      <c r="VY9" s="434" t="s">
        <v>102</v>
      </c>
      <c r="VZ9" s="435"/>
      <c r="WA9" s="449"/>
      <c r="WB9" s="434" t="s">
        <v>102</v>
      </c>
      <c r="WC9" s="435"/>
      <c r="WD9" s="434" t="s">
        <v>102</v>
      </c>
      <c r="WE9" s="435"/>
      <c r="WF9" s="436" t="s">
        <v>102</v>
      </c>
      <c r="WG9" s="436"/>
      <c r="WH9" s="434" t="s">
        <v>102</v>
      </c>
      <c r="WI9" s="435"/>
      <c r="WJ9" s="449"/>
      <c r="WK9" s="307"/>
      <c r="WL9" s="307"/>
      <c r="WN9" s="32" t="s">
        <v>1384</v>
      </c>
      <c r="YE9" s="20" t="s">
        <v>263</v>
      </c>
      <c r="YF9" s="502" t="s">
        <v>1266</v>
      </c>
      <c r="YG9" s="502"/>
      <c r="YH9" s="509" t="s">
        <v>1420</v>
      </c>
      <c r="YI9" s="509"/>
      <c r="YJ9" s="509"/>
      <c r="YK9" s="510" t="s">
        <v>115</v>
      </c>
      <c r="YL9" s="511"/>
      <c r="YM9" s="511"/>
      <c r="YN9" s="511"/>
      <c r="YO9" s="511"/>
      <c r="YP9" s="511"/>
      <c r="YQ9" s="512"/>
      <c r="YR9" s="94" t="s">
        <v>104</v>
      </c>
      <c r="YS9" s="510" t="s">
        <v>1411</v>
      </c>
      <c r="YT9" s="512"/>
      <c r="YU9" s="509" t="s">
        <v>1412</v>
      </c>
      <c r="YV9" s="509"/>
      <c r="YW9" s="94" t="s">
        <v>1409</v>
      </c>
      <c r="YX9" s="94" t="s">
        <v>1410</v>
      </c>
      <c r="YY9" s="510" t="s">
        <v>1422</v>
      </c>
      <c r="YZ9" s="511"/>
      <c r="ZA9" s="511"/>
      <c r="ZB9" s="512"/>
      <c r="ZC9" s="503" t="s">
        <v>1421</v>
      </c>
      <c r="ZD9" s="503"/>
      <c r="ZE9" s="513" t="s">
        <v>159</v>
      </c>
      <c r="ZF9" s="513"/>
      <c r="ZL9" s="20" t="s">
        <v>263</v>
      </c>
      <c r="ZM9" s="442" t="s">
        <v>1463</v>
      </c>
      <c r="ZN9" s="443"/>
      <c r="ZO9" s="443"/>
      <c r="ZP9" s="443"/>
      <c r="ZQ9" s="443"/>
      <c r="ZR9" s="443"/>
      <c r="ZS9" s="443"/>
      <c r="ZT9" s="443"/>
      <c r="ZU9" s="443"/>
      <c r="ZV9" s="443"/>
      <c r="ZW9" s="443"/>
      <c r="ZX9" s="444"/>
      <c r="ZY9" s="445" t="s">
        <v>116</v>
      </c>
      <c r="ZZ9" s="446"/>
      <c r="AAA9" s="446"/>
      <c r="AAB9" s="446"/>
      <c r="AAC9" s="446"/>
      <c r="AAD9" s="446"/>
      <c r="AAE9" s="446"/>
      <c r="AAF9" s="446"/>
      <c r="AAG9" s="446"/>
      <c r="AAH9" s="446"/>
      <c r="AAI9" s="446"/>
      <c r="AAJ9" s="446"/>
      <c r="AAK9" s="446"/>
      <c r="AAL9" s="446"/>
      <c r="AAM9" s="447"/>
      <c r="AAS9" s="423" t="s">
        <v>1426</v>
      </c>
      <c r="AAT9" s="424"/>
      <c r="AAU9" s="424"/>
      <c r="AAV9" s="417"/>
      <c r="AAW9" s="418"/>
      <c r="AAX9" s="418"/>
      <c r="AAY9" s="419"/>
      <c r="ABA9" s="423" t="e">
        <f>+IF(SolCotizacion!#REF!="Suite Corporativa","Catálogo","Fabricante")</f>
        <v>#REF!</v>
      </c>
      <c r="ABB9" s="424"/>
      <c r="ABC9" s="427"/>
      <c r="ABD9" s="428"/>
      <c r="ABF9" s="423" t="s">
        <v>243</v>
      </c>
      <c r="ABG9" s="424"/>
      <c r="ABH9" s="427"/>
      <c r="ABI9" s="431"/>
      <c r="ABJ9" s="431"/>
      <c r="ABK9" s="428"/>
      <c r="ACQ9" s="271" t="s">
        <v>1323</v>
      </c>
      <c r="ACR9" s="271"/>
      <c r="ACS9" s="271"/>
      <c r="ACT9" s="371">
        <f>+ResCotizacion!$R$25</f>
        <v>0</v>
      </c>
      <c r="ACU9" s="371"/>
      <c r="ACV9" s="371"/>
      <c r="ACW9" s="371"/>
      <c r="ADC9" s="271" t="s">
        <v>1478</v>
      </c>
      <c r="ADD9" s="271"/>
      <c r="ADE9" s="271"/>
      <c r="ADF9" s="271" t="s">
        <v>1477</v>
      </c>
      <c r="ADG9" s="271"/>
      <c r="ADH9" s="271"/>
      <c r="ADI9" s="271" t="s">
        <v>1324</v>
      </c>
      <c r="ADJ9" s="271"/>
      <c r="ADK9" s="271" t="s">
        <v>1450</v>
      </c>
      <c r="ADL9" s="271"/>
      <c r="ADM9" s="271" t="s">
        <v>1354</v>
      </c>
      <c r="ADN9" s="271"/>
      <c r="ADO9" s="271"/>
      <c r="ADP9" s="271" t="s">
        <v>1353</v>
      </c>
      <c r="ADQ9" s="271"/>
      <c r="ADR9" s="271"/>
      <c r="ADW9" t="s">
        <v>1910</v>
      </c>
      <c r="AEA9" s="128">
        <f>+IF(AEA8="Ítem",1,ROW()-33)</f>
        <v>-24</v>
      </c>
      <c r="AEB9" s="433" t="str">
        <f>IFERROR(INDEX(Cat_Filtro1!$A:$L,MATCH(AED9,Cat_Filtro1!$L:$L,0),4),"")</f>
        <v/>
      </c>
      <c r="AEC9" s="433"/>
      <c r="AED9" s="409" t="s">
        <v>3084</v>
      </c>
      <c r="AEE9" s="410"/>
      <c r="AEF9" s="410"/>
      <c r="AEG9" s="410"/>
      <c r="AEH9" s="410"/>
      <c r="AEI9" s="411"/>
      <c r="AEJ9" s="412" t="str">
        <f>+AEJ8</f>
        <v>x</v>
      </c>
      <c r="AEK9" s="412"/>
      <c r="AEL9" s="412"/>
      <c r="AEM9" s="412" t="str">
        <f>+AEM8</f>
        <v>x</v>
      </c>
      <c r="AEN9" s="412"/>
      <c r="AEO9" s="412"/>
      <c r="AEP9" s="129" t="str">
        <f>+AEP8</f>
        <v>x</v>
      </c>
      <c r="AEQ9" s="129" t="str">
        <f>+AEQ8</f>
        <v>x</v>
      </c>
      <c r="AER9" s="129" t="str">
        <f>+AER8</f>
        <v>x</v>
      </c>
      <c r="AES9" s="412" t="str">
        <f>+AES8</f>
        <v>x</v>
      </c>
      <c r="AET9" s="412"/>
      <c r="AEU9" s="437" t="s">
        <v>102</v>
      </c>
      <c r="AEV9" s="437"/>
      <c r="AEW9" s="438" t="s">
        <v>102</v>
      </c>
      <c r="AEX9" s="438"/>
      <c r="AEY9" s="412" t="s">
        <v>102</v>
      </c>
      <c r="AEZ9" s="412"/>
      <c r="AFA9" s="413">
        <v>1</v>
      </c>
      <c r="AFB9" s="413"/>
      <c r="AFD9" s="32"/>
      <c r="AFI9" t="s">
        <v>3081</v>
      </c>
      <c r="AFM9" s="128">
        <f>ROW()-33</f>
        <v>-24</v>
      </c>
      <c r="AFN9" s="433" t="str">
        <f>IFERROR(INDEX(Cat_Filtro1!$A:$L,MATCH(AFP9,Cat_Filtro1!$L:$L,0),4),"")</f>
        <v/>
      </c>
      <c r="AFO9" s="433"/>
      <c r="AFP9" s="409" t="s">
        <v>3082</v>
      </c>
      <c r="AFQ9" s="410"/>
      <c r="AFR9" s="410"/>
      <c r="AFS9" s="410"/>
      <c r="AFT9" s="410"/>
      <c r="AFU9" s="411"/>
      <c r="AFV9" s="412" t="s">
        <v>102</v>
      </c>
      <c r="AFW9" s="412"/>
      <c r="AFX9" s="412"/>
      <c r="AFY9" s="412" t="s">
        <v>102</v>
      </c>
      <c r="AFZ9" s="412"/>
      <c r="AGA9" s="412"/>
      <c r="AGB9" s="129" t="s">
        <v>102</v>
      </c>
      <c r="AGC9" s="126"/>
      <c r="AGD9" s="132"/>
      <c r="AGE9" s="412" t="s">
        <v>102</v>
      </c>
      <c r="AGF9" s="412"/>
      <c r="AGG9" s="437" t="s">
        <v>102</v>
      </c>
      <c r="AGH9" s="437"/>
      <c r="AGI9" s="438" t="s">
        <v>102</v>
      </c>
      <c r="AGJ9" s="438"/>
      <c r="AGK9" s="412" t="s">
        <v>102</v>
      </c>
      <c r="AGL9" s="412"/>
      <c r="AGM9" s="413">
        <v>1</v>
      </c>
      <c r="AGN9" s="413"/>
      <c r="AGY9" s="20" t="s">
        <v>263</v>
      </c>
      <c r="AGZ9" s="271" t="str">
        <f>+IF(Desplegable_prod!$A$1&lt;&gt;"",Desplegable_prod!$A$1,"")</f>
        <v>Estampado de la Fuerza</v>
      </c>
      <c r="AHA9" s="271"/>
      <c r="AHB9" s="271"/>
      <c r="AHC9" s="271" t="str">
        <f>+IF(Desplegable_prod!$B$1&lt;&gt;"",Desplegable_prod!$B$1,"")</f>
        <v xml:space="preserve">Color de la tela de las secciones rectangulares de la cabecera y el pie de la hamaca </v>
      </c>
      <c r="AHD9" s="271"/>
      <c r="AHE9" s="271"/>
      <c r="AHF9" s="271" t="str">
        <f>+IF(Desplegable_prod!$C$1&lt;&gt;"",Desplegable_prod!$C$1,"")</f>
        <v xml:space="preserve">Tipo de tela </v>
      </c>
      <c r="AHG9" s="271"/>
      <c r="AHH9" s="271"/>
      <c r="AHI9" s="271" t="str">
        <f>+IF(Desplegable_prod!$D$1&lt;&gt;"",Desplegable_prod!$D$1,"")</f>
        <v/>
      </c>
      <c r="AHJ9" s="271"/>
      <c r="AHK9" s="271"/>
      <c r="AHL9" s="271" t="str">
        <f>+IF(Desplegable_prod!$E$1&lt;&gt;"",Desplegable_prod!$E$1,"")</f>
        <v/>
      </c>
      <c r="AHM9" s="271"/>
      <c r="AHN9" s="271"/>
      <c r="AHO9" s="271" t="str">
        <f>+IF(Desplegable_prod!$F$1&lt;&gt;"",Desplegable_prod!$F$1,"")</f>
        <v/>
      </c>
      <c r="AHP9" s="271"/>
      <c r="AHQ9" s="271"/>
      <c r="AHR9" s="271" t="str">
        <f>+IF(Desplegable_prod!$G$1&lt;&gt;"",Desplegable_prod!$G$1,"")</f>
        <v/>
      </c>
      <c r="AHS9" s="271"/>
      <c r="AHT9" s="271"/>
      <c r="AHU9" s="271" t="str">
        <f>+IF(Desplegable_prod!$H$1&lt;&gt;"",Desplegable_prod!$H$1,"")</f>
        <v/>
      </c>
      <c r="AHV9" s="271"/>
      <c r="AHW9" s="271"/>
      <c r="AHX9" s="271" t="str">
        <f>+IF(Desplegable_prod!$I$1&lt;&gt;"",Desplegable_prod!$I$1,"")</f>
        <v/>
      </c>
      <c r="AHY9" s="271"/>
      <c r="AHZ9" s="271"/>
      <c r="AIA9" s="271" t="str">
        <f>+IF(Desplegable_prod!$J$1&lt;&gt;"",Desplegable_prod!$J$1,"")</f>
        <v/>
      </c>
      <c r="AIB9" s="271"/>
      <c r="AIC9" s="271"/>
      <c r="AIO9" s="305" t="s">
        <v>159</v>
      </c>
      <c r="AIP9" s="306"/>
      <c r="AIQ9" s="306"/>
      <c r="AJH9" s="154" t="s">
        <v>263</v>
      </c>
      <c r="AJI9" s="360" t="s">
        <v>3494</v>
      </c>
      <c r="AJJ9" s="360"/>
      <c r="AJK9" s="360"/>
      <c r="AJL9" s="360" t="s">
        <v>3129</v>
      </c>
      <c r="AJM9" s="360"/>
      <c r="AJN9" s="360"/>
      <c r="AJO9" s="360"/>
      <c r="AJP9" s="360"/>
      <c r="AJQ9" s="360"/>
      <c r="AJR9" s="360"/>
      <c r="AJS9" s="360"/>
      <c r="AJT9" s="360"/>
      <c r="AJU9" s="360"/>
      <c r="AJV9" s="360"/>
      <c r="AJW9" s="360" t="s">
        <v>159</v>
      </c>
      <c r="AJX9" s="360"/>
      <c r="AJY9" s="360"/>
      <c r="AJZ9" s="367" t="s">
        <v>3489</v>
      </c>
      <c r="AKA9" s="367"/>
      <c r="AKB9" s="368"/>
      <c r="AKC9" s="360" t="s">
        <v>3490</v>
      </c>
      <c r="AKD9" s="360"/>
      <c r="AKE9" s="360"/>
      <c r="AKF9" s="360" t="s">
        <v>1352</v>
      </c>
      <c r="AKG9" s="360"/>
      <c r="AKH9" s="360"/>
      <c r="AKI9" s="360"/>
      <c r="AKR9" s="154" t="s">
        <v>263</v>
      </c>
      <c r="AKS9" s="360" t="s">
        <v>3494</v>
      </c>
      <c r="AKT9" s="360"/>
      <c r="AKU9" s="360"/>
      <c r="AKV9" s="403" t="s">
        <v>3129</v>
      </c>
      <c r="AKW9" s="404"/>
      <c r="AKX9" s="404"/>
      <c r="AKY9" s="404"/>
      <c r="AKZ9" s="404"/>
      <c r="ALA9" s="404"/>
      <c r="ALB9" s="404"/>
      <c r="ALC9" s="404"/>
      <c r="ALD9" s="404"/>
      <c r="ALE9" s="404"/>
      <c r="ALF9" s="404"/>
      <c r="ALG9" s="404"/>
      <c r="ALH9" s="404"/>
      <c r="ALI9" s="405"/>
      <c r="ALJ9" s="360" t="s">
        <v>3933</v>
      </c>
      <c r="ALK9" s="360"/>
      <c r="ALL9" s="360"/>
      <c r="ALM9" s="360" t="s">
        <v>3924</v>
      </c>
      <c r="ALN9" s="360"/>
      <c r="ALO9" s="360"/>
      <c r="ALP9" s="360" t="s">
        <v>3932</v>
      </c>
      <c r="ALQ9" s="360"/>
      <c r="ALR9" s="360"/>
      <c r="ALS9" s="360"/>
      <c r="AME9" s="385" t="s">
        <v>3916</v>
      </c>
      <c r="AMF9" s="386"/>
      <c r="AMG9" s="386"/>
      <c r="AMH9" s="382" t="str">
        <f>+IFERROR(VLOOKUP(Cotizacion!$I$32,Cat_Filtro2!$E:$L,8,FALSE),"")</f>
        <v>REGION 7</v>
      </c>
      <c r="AMI9" s="383"/>
      <c r="AMJ9" s="383"/>
      <c r="AMK9" s="384"/>
      <c r="AMV9" s="156" t="s">
        <v>263</v>
      </c>
      <c r="AMW9" s="390" t="s">
        <v>3494</v>
      </c>
      <c r="AMX9" s="390"/>
      <c r="AMY9" s="390"/>
      <c r="AMZ9" s="390" t="s">
        <v>3129</v>
      </c>
      <c r="ANA9" s="390"/>
      <c r="ANB9" s="390"/>
      <c r="ANC9" s="390"/>
      <c r="AND9" s="390"/>
      <c r="ANE9" s="390"/>
      <c r="ANF9" s="390"/>
      <c r="ANG9" s="390"/>
      <c r="ANH9" s="390"/>
      <c r="ANI9" s="390"/>
      <c r="ANJ9" s="390"/>
      <c r="ANK9" s="390" t="s">
        <v>3933</v>
      </c>
      <c r="ANL9" s="390"/>
      <c r="ANM9" s="390"/>
      <c r="ANN9" s="271" t="s">
        <v>1322</v>
      </c>
      <c r="ANO9" s="271"/>
      <c r="ANP9" s="271"/>
      <c r="ANQ9" s="271" t="s">
        <v>1449</v>
      </c>
      <c r="ANR9" s="271"/>
      <c r="ANS9" s="271"/>
      <c r="ANT9" s="271" t="s">
        <v>3926</v>
      </c>
      <c r="ANU9" s="271"/>
      <c r="ANV9" s="271" t="s">
        <v>3927</v>
      </c>
      <c r="ANW9" s="271"/>
      <c r="ANX9" s="271"/>
      <c r="ANY9" s="271" t="s">
        <v>1352</v>
      </c>
      <c r="ANZ9" s="271"/>
      <c r="AOA9" s="271"/>
      <c r="AOB9" s="271" t="s">
        <v>1324</v>
      </c>
      <c r="AOC9" s="271"/>
      <c r="AOD9" s="271" t="s">
        <v>1450</v>
      </c>
      <c r="AOE9" s="271"/>
      <c r="AOF9" s="271" t="s">
        <v>1354</v>
      </c>
      <c r="AOG9" s="271"/>
      <c r="AOH9" s="271"/>
      <c r="AOI9" s="271" t="s">
        <v>1353</v>
      </c>
      <c r="AOJ9" s="271"/>
      <c r="AOK9" s="271"/>
      <c r="AOL9" s="271" t="s">
        <v>3934</v>
      </c>
      <c r="AOM9" s="271"/>
      <c r="AON9" s="271"/>
      <c r="AOO9" s="271" t="s">
        <v>3935</v>
      </c>
      <c r="AOP9" s="271"/>
      <c r="AOQ9" s="271"/>
      <c r="AOR9" s="271" t="s">
        <v>3941</v>
      </c>
      <c r="AOS9" s="271"/>
      <c r="AOT9" s="271"/>
      <c r="AOU9" s="271"/>
      <c r="AOV9" s="271"/>
      <c r="AOW9" s="271"/>
      <c r="AOX9" s="22" t="s">
        <v>3940</v>
      </c>
    </row>
    <row r="10" spans="1:1090" s="17" customFormat="1" ht="30" customHeight="1">
      <c r="J10" s="19">
        <f>+IF(J9="Ítem",1,J9+1)</f>
        <v>1</v>
      </c>
      <c r="K10" s="396"/>
      <c r="L10" s="396"/>
      <c r="M10" s="396"/>
      <c r="N10" s="396"/>
      <c r="O10" s="477"/>
      <c r="P10" s="478"/>
      <c r="Q10" s="478"/>
      <c r="R10" s="479"/>
      <c r="S10" s="480" t="str">
        <f>+IF(Segmento!$O$2="CatA",IFERROR(VLOOKUP(O10,#REF!,2,FALSE),""),IFERROR(VLOOKUP(O10,#REF!,2,FALSE),""))</f>
        <v/>
      </c>
      <c r="T10" s="481"/>
      <c r="U10" s="481"/>
      <c r="V10" s="482"/>
      <c r="W10" s="476" t="str">
        <f>IF(Segmento!$O$2="CatA",IFERROR(VLOOKUP(O10,#REF!,3,FALSE),""),IFERROR(VLOOKUP(O10,#REF!,3,FALSE),""))</f>
        <v/>
      </c>
      <c r="X10" s="476"/>
      <c r="Y10" s="476"/>
      <c r="Z10" s="476"/>
      <c r="AA10" s="483" t="str">
        <f>IF(Segmento!$O$2="CatA",IFERROR(VLOOKUP(O10,#REF!,6,FALSE),""),IFERROR(VLOOKUP(O10,#REF!,6,FALSE),""))</f>
        <v/>
      </c>
      <c r="AB10" s="484"/>
      <c r="AC10" s="485"/>
      <c r="AD10" s="483" t="str">
        <f>IF(Segmento!$O$2="CatA",IFERROR(VLOOKUP(O10,#REF!,7,FALSE),""),IFERROR(VLOOKUP(O10,#REF!,7,FALSE),""))</f>
        <v/>
      </c>
      <c r="AE10" s="484"/>
      <c r="AF10" s="485"/>
      <c r="AK10" s="19">
        <f>+IF(AK9="Ítem",1,AK9+1)</f>
        <v>1</v>
      </c>
      <c r="AL10" s="454"/>
      <c r="AM10" s="454"/>
      <c r="AN10" s="454"/>
      <c r="AO10" s="454"/>
      <c r="BJ10" s="454"/>
      <c r="BK10" s="454"/>
      <c r="BL10" s="454"/>
      <c r="BM10" s="454"/>
      <c r="BN10" s="454"/>
      <c r="BO10" s="454"/>
      <c r="BW10" s="454"/>
      <c r="BX10" s="454"/>
      <c r="BY10" s="454"/>
      <c r="BZ10" s="455"/>
      <c r="CA10" s="455"/>
      <c r="CB10" s="455"/>
      <c r="DB10" s="471"/>
      <c r="DC10" s="472"/>
      <c r="DD10" s="473"/>
      <c r="DE10" s="474"/>
      <c r="DF10" s="474"/>
      <c r="DG10" s="474"/>
      <c r="DH10" s="474"/>
      <c r="DI10" s="474"/>
      <c r="DJ10" s="474"/>
      <c r="DK10" s="474"/>
      <c r="DL10" s="474"/>
      <c r="DM10" s="474"/>
      <c r="DS10" s="471"/>
      <c r="DT10" s="472"/>
      <c r="DU10" s="473"/>
      <c r="DV10" s="474"/>
      <c r="DW10" s="474"/>
      <c r="DX10" s="474"/>
      <c r="DY10" s="474"/>
      <c r="DZ10" s="474"/>
      <c r="EA10" s="474"/>
      <c r="EB10" s="487"/>
      <c r="EC10" s="487"/>
      <c r="ED10" s="487"/>
      <c r="EE10" s="488"/>
      <c r="EF10" s="488"/>
      <c r="EG10" s="488"/>
      <c r="EJ10" s="474"/>
      <c r="EK10" s="474"/>
      <c r="EL10" s="474"/>
      <c r="EM10" s="474"/>
      <c r="EN10" s="474"/>
      <c r="EO10" s="474"/>
      <c r="EP10" s="474"/>
      <c r="EQ10" s="474"/>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52"/>
      <c r="GV10" s="52"/>
      <c r="GW10" s="52"/>
      <c r="GX10" s="52"/>
      <c r="GY10" s="52"/>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52"/>
      <c r="IC10" s="52"/>
      <c r="ID10" s="52"/>
      <c r="IE10" s="52"/>
      <c r="IF10" s="52"/>
      <c r="IG10" s="250"/>
      <c r="IH10" s="250"/>
      <c r="II10" s="250"/>
      <c r="IJ10" s="250"/>
      <c r="IK10" s="250"/>
      <c r="IL10" s="250"/>
      <c r="IM10" s="250"/>
      <c r="IN10" s="250"/>
      <c r="IO10" s="250"/>
      <c r="IP10" s="250"/>
      <c r="IQ10" s="250"/>
      <c r="IR10" s="250"/>
      <c r="IS10" s="250"/>
      <c r="IT10" s="250"/>
      <c r="IU10" s="250"/>
      <c r="IV10" s="250"/>
      <c r="IW10" s="250"/>
      <c r="IX10" s="250"/>
      <c r="IY10" s="250"/>
      <c r="IZ10" s="250"/>
      <c r="JA10" s="250"/>
      <c r="JB10" s="250"/>
      <c r="JC10" s="250"/>
      <c r="JD10" s="250"/>
      <c r="JE10" s="250"/>
      <c r="JF10" s="250"/>
      <c r="JG10" s="250"/>
      <c r="JH10" s="250"/>
      <c r="JK10" s="494"/>
      <c r="JL10" s="494"/>
      <c r="JM10" s="494"/>
      <c r="JN10" s="494"/>
      <c r="JO10" s="494"/>
      <c r="JP10" s="494"/>
      <c r="JQ10" s="494"/>
      <c r="JR10" s="494"/>
      <c r="JS10" s="494"/>
      <c r="JT10" s="494"/>
      <c r="JU10" s="494"/>
      <c r="JV10" s="494"/>
      <c r="JW10" s="494"/>
      <c r="JX10" s="494"/>
      <c r="JY10" s="494"/>
      <c r="JZ10" s="494"/>
      <c r="KA10" s="494"/>
      <c r="KB10" s="494"/>
      <c r="KC10" s="494"/>
      <c r="KD10" s="494"/>
      <c r="KE10" s="494"/>
      <c r="KF10" s="494"/>
      <c r="KG10" s="494"/>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25"/>
      <c r="MA10" s="426"/>
      <c r="MB10" s="496"/>
      <c r="MC10" s="496"/>
      <c r="MD10" s="496"/>
      <c r="MI10" s="402" t="str">
        <f>+IFERROR(IF(OR(LJ10="Porcentaje máximo de aumento para tallas no comerciales",LEFT(LJ10,24)="Servicio de distribución"),
             VLOOKUP(Var!$F$13&amp;"_"&amp;LH10,Cat_Filtro2!$C:$G,5,FALSE),
             "N/A"),
           "")</f>
        <v>N/A</v>
      </c>
      <c r="MJ10" s="402"/>
      <c r="MK10" s="402"/>
      <c r="ML10" s="371" t="str">
        <f>+IFERROR(ROUND(VLOOKUP(LG10&amp;"_"&amp;LH10,Cat_resumido!$C:$DE,Var!$F$2+2,FALSE)/MG10,0),"")</f>
        <v/>
      </c>
      <c r="MM10" s="371"/>
      <c r="MN10" s="371"/>
      <c r="MO10" s="371" t="str">
        <f ca="1">+IFERROR(ROUND(ML10/(1-Var!$F$3),0),"")</f>
        <v/>
      </c>
      <c r="MP10" s="371"/>
      <c r="MQ10" s="371"/>
      <c r="MR10" s="372" t="str">
        <f ca="1">IFERROR(ROUND(MO10*MG10,2),"")</f>
        <v/>
      </c>
      <c r="MS10" s="373"/>
      <c r="MT10" s="374"/>
      <c r="MU10" s="372" t="str">
        <f ca="1">IFERROR(ROUND(MR10*LX10,2),"")</f>
        <v/>
      </c>
      <c r="MV10" s="373"/>
      <c r="MW10" s="374"/>
      <c r="MX10" s="372" t="str">
        <f ca="1">IFERROR(ROUND(MR10+MU10,2),"")</f>
        <v/>
      </c>
      <c r="MY10" s="373"/>
      <c r="MZ10" s="374"/>
      <c r="NH10" s="271" t="s">
        <v>1324</v>
      </c>
      <c r="NI10" s="271"/>
      <c r="NJ10" s="271"/>
      <c r="NK10" s="375">
        <f ca="1">+ROUND(NK9*0.19,2)</f>
        <v>0</v>
      </c>
      <c r="NL10" s="375"/>
      <c r="NM10" s="375"/>
      <c r="NN10" s="375"/>
      <c r="NV10" s="271" t="s">
        <v>1324</v>
      </c>
      <c r="NW10" s="271"/>
      <c r="NX10" s="271"/>
      <c r="NY10" s="375">
        <f ca="1">+ROUND(NY9*0.19,2)</f>
        <v>0</v>
      </c>
      <c r="NZ10" s="375"/>
      <c r="OA10" s="375"/>
      <c r="OB10" s="375"/>
      <c r="OC10"/>
      <c r="OD10"/>
      <c r="OE10"/>
      <c r="OF10"/>
      <c r="OG10"/>
      <c r="OH10"/>
      <c r="OI10"/>
      <c r="OJ10"/>
      <c r="OK10"/>
      <c r="OL10"/>
      <c r="OM10"/>
      <c r="OP10" s="372" t="str">
        <f ca="1">+IFERROR(ROUND(VLOOKUP(NX10&amp;"_"&amp;NY10,Cat_resumido!$C:$CZ,Var!$F$6-2,FALSE)/OM10,2),"")</f>
        <v/>
      </c>
      <c r="OQ10" s="373"/>
      <c r="OR10" s="374"/>
      <c r="OS10" s="371" t="str">
        <f ca="1">+IFERROR(ROUND(OP10/(1-Var!$F$3),2),"")</f>
        <v/>
      </c>
      <c r="OT10" s="371"/>
      <c r="OU10" s="371"/>
      <c r="OV10" s="388"/>
      <c r="OW10" s="388"/>
      <c r="OX10" s="371" t="str">
        <f ca="1">IFERROR(ROUND(OS10*(1-OV10),2),"")</f>
        <v/>
      </c>
      <c r="OY10" s="371"/>
      <c r="OZ10" s="371"/>
      <c r="PA10" s="371" t="str">
        <f ca="1">IFERROR(ROUND(OX10*OM10,2),"")</f>
        <v/>
      </c>
      <c r="PB10" s="371"/>
      <c r="PC10" s="371"/>
      <c r="PD10" s="389"/>
      <c r="PE10" s="389"/>
      <c r="PF10" s="388"/>
      <c r="PG10" s="388"/>
      <c r="PH10" s="371">
        <f>+IFERROR(IF(PD10="SI",ROUND(PA10*PF10,2),0),"")</f>
        <v>0</v>
      </c>
      <c r="PI10" s="371"/>
      <c r="PJ10" s="371"/>
      <c r="PK10" s="371" t="str">
        <f ca="1">+IFERROR(ROUND(PA10+PH10,2),"")</f>
        <v/>
      </c>
      <c r="PL10" s="371"/>
      <c r="PM10" s="371"/>
      <c r="PN10"/>
      <c r="PO10"/>
      <c r="PP10"/>
      <c r="PQ10"/>
      <c r="PR10"/>
      <c r="PS10"/>
      <c r="PT10"/>
      <c r="PU10"/>
      <c r="PV10"/>
      <c r="PW10"/>
      <c r="PX10"/>
      <c r="QA10" s="371" t="str">
        <f>+IFERROR(ROUND(VLOOKUP(PI10&amp;"_"&amp;PJ10,Cat_resumido!$C:$CZ,Var!$F$6-2,FALSE)/1,2),"")</f>
        <v/>
      </c>
      <c r="QB10" s="371"/>
      <c r="QC10" s="371"/>
      <c r="QD10" s="371" t="str">
        <f ca="1">+IFERROR(ROUND(QA10/(1-Var!$F$3),2),"")</f>
        <v/>
      </c>
      <c r="QE10" s="371"/>
      <c r="QF10" s="371"/>
      <c r="QG10" s="448">
        <f ca="1">+IFERROR(ROUND(Cotizacion!$AE$22/QD10,0),0)</f>
        <v>0</v>
      </c>
      <c r="QH10" s="448"/>
      <c r="QI10" s="371" t="str">
        <f ca="1">IFERROR(ROUND((Cotizacion!$AE$22-QS10)/QG10,2),"")</f>
        <v/>
      </c>
      <c r="QJ10" s="371"/>
      <c r="QK10" s="371"/>
      <c r="QL10" s="371" t="str">
        <f ca="1">IFERROR(ROUND(QI10*QG10,2),"")</f>
        <v/>
      </c>
      <c r="QM10" s="371"/>
      <c r="QN10" s="371"/>
      <c r="QO10" s="389"/>
      <c r="QP10" s="389"/>
      <c r="QQ10" s="388"/>
      <c r="QR10" s="388"/>
      <c r="QS10" s="371">
        <f>+IFERROR(IF(QO10="SI",ROUND(Cotizacion!$AE$22-(Cotizacion!$AE$22/(1+QQ10)),2),0),"")</f>
        <v>0</v>
      </c>
      <c r="QT10" s="371"/>
      <c r="QU10" s="371"/>
      <c r="QV10" s="371" t="str">
        <f ca="1">IFERROR(QL10+QS10,"")</f>
        <v/>
      </c>
      <c r="QW10" s="371"/>
      <c r="QX10" s="371"/>
      <c r="QY10"/>
      <c r="QZ10"/>
      <c r="RA10"/>
      <c r="TC10" s="286"/>
      <c r="YE10" s="75">
        <f>IFERROR(IF(YE9="Ítem",1,ROW()-ROW(SolCotizacion!#REF!)),ROW()-ROW(SolCotizacion!#REF!))</f>
        <v>1</v>
      </c>
      <c r="YF10" s="504"/>
      <c r="YG10" s="504"/>
      <c r="YH10" s="514" t="str">
        <f>+IFERROR(VLOOKUP($G10,Cat_Filtro1!$D:$U,MATCH(SolCotizacion!#REF!,Cat_Filtro1!$1:$1,0)-3,FALSE),"")</f>
        <v/>
      </c>
      <c r="YI10" s="515"/>
      <c r="YJ10" s="516"/>
      <c r="YK10" s="514" t="str">
        <f>+IFERROR(VLOOKUP($G10,Cat_Filtro1!$D:$U,MATCH(SolCotizacion!#REF!,Cat_Filtro1!$1:$1,0)-3,FALSE),"")</f>
        <v/>
      </c>
      <c r="YL10" s="515"/>
      <c r="YM10" s="515"/>
      <c r="YN10" s="515"/>
      <c r="YO10" s="515"/>
      <c r="YP10" s="515"/>
      <c r="YQ10" s="516"/>
      <c r="YR10" s="95" t="str">
        <f>+IFERROR(VLOOKUP($G10,Cat_Filtro1!$D:$U,MATCH(SolCotizacion!#REF!,Cat_Filtro1!$1:$1,0)-3,FALSE),"")</f>
        <v/>
      </c>
      <c r="YS10" s="514" t="str">
        <f>+IFERROR(VLOOKUP($G10,Cat_Filtro1!$D:$U,MATCH(SolCotizacion!#REF!,Cat_Filtro1!$1:$1,0)-3,FALSE),"")</f>
        <v/>
      </c>
      <c r="YT10" s="516"/>
      <c r="YU10" s="514" t="str">
        <f>+IFERROR(VLOOKUP($G10,Cat_Filtro1!$D:$U,MATCH(SolCotizacion!#REF!,Cat_Filtro1!$1:$1,0)-3,FALSE),"")</f>
        <v/>
      </c>
      <c r="YV10" s="516"/>
      <c r="YW10" s="95" t="str">
        <f>+IFERROR(VLOOKUP($G10,Cat_Filtro1!$D:$U,MATCH(SolCotizacion!#REF!,Cat_Filtro1!$1:$1,0)-3,FALSE),"")</f>
        <v/>
      </c>
      <c r="YX10" s="95" t="str">
        <f>+IFERROR(VLOOKUP($G10,Cat_Filtro1!$D:$U,MATCH(SolCotizacion!#REF!,Cat_Filtro1!$1:$1,0)-3,FALSE),"")</f>
        <v/>
      </c>
      <c r="YY10" s="514" t="str">
        <f>+IFERROR(VLOOKUP($G10,Cat_Filtro1!$D:$U,MATCH(SolCotizacion!#REF!,Cat_Filtro1!$1:$1,0)-3,FALSE),"")</f>
        <v/>
      </c>
      <c r="YZ10" s="515"/>
      <c r="ZA10" s="515"/>
      <c r="ZB10" s="516"/>
      <c r="ZC10" s="514" t="str">
        <f>+IFERROR(VLOOKUP($G10,Cat_Filtro1!$D:$U,MATCH(SolCotizacion!#REF!,Cat_Filtro1!$1:$1,0)-3,FALSE),"")</f>
        <v/>
      </c>
      <c r="ZD10" s="516"/>
      <c r="ZE10" s="307"/>
      <c r="ZF10" s="307"/>
      <c r="ZL10" s="75">
        <f>IFERROR(IF(ZL9="Ítem",1,ROW()-ROW(SolCotizacion!#REF!)),ROW()-ROW(SolCotizacion!#REF!))</f>
        <v>1</v>
      </c>
      <c r="ZM10" s="439" t="s">
        <v>1464</v>
      </c>
      <c r="ZN10" s="440"/>
      <c r="ZO10" s="440"/>
      <c r="ZP10" s="440"/>
      <c r="ZQ10" s="440"/>
      <c r="ZR10" s="440"/>
      <c r="ZS10" s="440"/>
      <c r="ZT10" s="440"/>
      <c r="ZU10" s="440"/>
      <c r="ZV10" s="440"/>
      <c r="ZW10" s="440"/>
      <c r="ZX10" s="441"/>
      <c r="ZY10" s="439"/>
      <c r="ZZ10" s="440"/>
      <c r="AAA10" s="440"/>
      <c r="AAB10" s="440"/>
      <c r="AAC10" s="440"/>
      <c r="AAD10" s="440"/>
      <c r="AAE10" s="440"/>
      <c r="AAF10" s="440"/>
      <c r="AAG10" s="440"/>
      <c r="AAH10" s="440"/>
      <c r="AAI10" s="440"/>
      <c r="AAJ10" s="440"/>
      <c r="AAK10" s="440"/>
      <c r="AAL10" s="440"/>
      <c r="AAM10" s="441"/>
      <c r="AAS10" s="425"/>
      <c r="AAT10" s="426"/>
      <c r="AAU10" s="426"/>
      <c r="AAV10" s="420"/>
      <c r="AAW10" s="421"/>
      <c r="AAX10" s="421"/>
      <c r="AAY10" s="422"/>
      <c r="AAZ10"/>
      <c r="ABA10" s="425"/>
      <c r="ABB10" s="426"/>
      <c r="ABC10" s="429"/>
      <c r="ABD10" s="430"/>
      <c r="ABE10"/>
      <c r="ABF10" s="425"/>
      <c r="ABG10" s="426"/>
      <c r="ABH10" s="429"/>
      <c r="ABI10" s="432"/>
      <c r="ABJ10" s="432"/>
      <c r="ABK10" s="430"/>
      <c r="ABR10"/>
      <c r="ABS10"/>
      <c r="ABT10"/>
      <c r="ABU10"/>
      <c r="ABV10"/>
      <c r="ABW10"/>
      <c r="ABX10"/>
      <c r="ABY10"/>
      <c r="ABZ10"/>
      <c r="ACA10"/>
      <c r="ACB10"/>
      <c r="ACC10"/>
      <c r="ACD10"/>
      <c r="ACE10"/>
      <c r="ACF10"/>
      <c r="ACG10"/>
      <c r="ACH10"/>
      <c r="ACI10"/>
      <c r="ACJ10"/>
      <c r="ACQ10" s="271" t="s">
        <v>1324</v>
      </c>
      <c r="ACR10" s="271"/>
      <c r="ACS10" s="271"/>
      <c r="ACT10" s="375">
        <f>+ROUND(ACT9*0.19,0)</f>
        <v>0</v>
      </c>
      <c r="ACU10" s="375"/>
      <c r="ACV10" s="375"/>
      <c r="ACW10" s="375"/>
      <c r="ADC10" s="499"/>
      <c r="ADD10" s="500"/>
      <c r="ADE10" s="501"/>
      <c r="ADF10" s="371">
        <f ca="1">+IFERROR(ROUND(ADC10/(1-Var!$F$3),2),"")</f>
        <v>0</v>
      </c>
      <c r="ADG10" s="371"/>
      <c r="ADH10" s="371"/>
      <c r="ADI10" s="389"/>
      <c r="ADJ10" s="389"/>
      <c r="ADK10" s="388"/>
      <c r="ADL10" s="388"/>
      <c r="ADM10" s="371">
        <f>+IFERROR(IF(ADI10="SI",ROUND(ADK10*ADF10,0),0),"")</f>
        <v>0</v>
      </c>
      <c r="ADN10" s="371"/>
      <c r="ADO10" s="371"/>
      <c r="ADP10" s="371">
        <f ca="1">+IFERROR(ADM10+ADF10,"")</f>
        <v>0</v>
      </c>
      <c r="ADQ10" s="371"/>
      <c r="ADR10" s="371"/>
      <c r="AGY10" s="75">
        <f>IFERROR(IF(AGY9="Ítem",1,ROW()-ROW(SolCotizacion!$F$28)-5),"error")</f>
        <v>1</v>
      </c>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O10" s="307"/>
      <c r="AIP10" s="307"/>
      <c r="AIQ10" s="307"/>
      <c r="AJH10" s="155">
        <f>IFERROR(IF(AJH9="Ítem",1,ROW()-ROW(SolCotizacion!#REF!)),ROW()-ROW(SolCotizacion!#REF!))</f>
        <v>1</v>
      </c>
      <c r="AJI10" s="343" t="str">
        <f>+SolCotizacion!$I$28</f>
        <v>min03-P43</v>
      </c>
      <c r="AJJ10" s="343"/>
      <c r="AJK10" s="343"/>
      <c r="AJL10" s="369" t="str">
        <f>+SolCotizacion!$L$28</f>
        <v>HAMACA CON TOLDILLO_según NTMD vigente</v>
      </c>
      <c r="AJM10" s="369"/>
      <c r="AJN10" s="369"/>
      <c r="AJO10" s="369"/>
      <c r="AJP10" s="369"/>
      <c r="AJQ10" s="369"/>
      <c r="AJR10" s="369"/>
      <c r="AJS10" s="369"/>
      <c r="AJT10" s="369"/>
      <c r="AJU10" s="369"/>
      <c r="AJV10" s="369"/>
      <c r="AJW10" s="370">
        <v>50</v>
      </c>
      <c r="AJX10" s="370"/>
      <c r="AJY10" s="370"/>
      <c r="AJZ10" s="371">
        <f>+IFERROR(ROUND(VLOOKUP(AJH10&amp;"_"&amp;AJI10,Cat_resumido!$C:$DE,Var!$F$2-2,FALSE)/AJW10,2),"")</f>
        <v>349776.95</v>
      </c>
      <c r="AKA10" s="371"/>
      <c r="AKB10" s="371"/>
      <c r="AKC10" s="371">
        <f ca="1">+IFERROR(ROUND(AJZ10/(1-Var!$F$3),0),"")</f>
        <v>353310</v>
      </c>
      <c r="AKD10" s="371"/>
      <c r="AKE10" s="371"/>
      <c r="AKF10" s="372">
        <f ca="1">IFERROR(ROUND(AJW10*AKC10,2),"")</f>
        <v>17665500</v>
      </c>
      <c r="AKG10" s="373"/>
      <c r="AKH10" s="373"/>
      <c r="AKI10" s="374"/>
      <c r="AKR10" s="155">
        <f>IFERROR(IF(AKR9="Ítem",1,ROW()-ROW(SolCotizacion!#REF!)),ROW()-ROW(SolCotizacion!#REF!))</f>
        <v>1</v>
      </c>
      <c r="AKS10" s="343" t="str">
        <f>+SolCotizacion!$I$28</f>
        <v>min03-P43</v>
      </c>
      <c r="AKT10" s="343"/>
      <c r="AKU10" s="343"/>
      <c r="AKV10" s="406" t="str">
        <f>+SolCotizacion!$L$28</f>
        <v>HAMACA CON TOLDILLO_según NTMD vigente</v>
      </c>
      <c r="AKW10" s="407"/>
      <c r="AKX10" s="407"/>
      <c r="AKY10" s="407"/>
      <c r="AKZ10" s="407"/>
      <c r="ALA10" s="407"/>
      <c r="ALB10" s="407"/>
      <c r="ALC10" s="407"/>
      <c r="ALD10" s="407"/>
      <c r="ALE10" s="407"/>
      <c r="ALF10" s="407"/>
      <c r="ALG10" s="407"/>
      <c r="ALH10" s="407"/>
      <c r="ALI10" s="408"/>
      <c r="ALJ10" s="370">
        <v>1</v>
      </c>
      <c r="ALK10" s="370"/>
      <c r="ALL10" s="370"/>
      <c r="ALM10" s="371">
        <f>+IFERROR(ROUND(VLOOKUP(AKR10&amp;"_"&amp;AKS10,Cat_resumido!$C:$DE,Var!$F$2-2,FALSE)/1,2),"")</f>
        <v>17488847.25</v>
      </c>
      <c r="ALN10" s="371"/>
      <c r="ALO10" s="371"/>
      <c r="ALP10" s="372">
        <f ca="1">+IFERROR(ROUND(ALM10/(1-Var!$F$3),0),"")</f>
        <v>17665502</v>
      </c>
      <c r="ALQ10" s="373"/>
      <c r="ALR10" s="373"/>
      <c r="ALS10" s="374"/>
      <c r="AMV10" s="155" t="str">
        <f>+IFERROR(VLOOKUP(AOR10,Consolidacion_respuestas!$B:$BM,MATCH(AMV9,Consolidacion_respuestas!$33:$33,0)-1,FALSE),"")</f>
        <v/>
      </c>
      <c r="AMW10" s="343" t="str">
        <f>+IFERROR(VLOOKUP(AOR10,Consolidacion_respuestas!$B:$BM,MATCH(AMW9,Consolidacion_respuestas!$33:$33,0)-1,FALSE),"")</f>
        <v/>
      </c>
      <c r="AMX10" s="343" t="str">
        <f>+IFERROR(VLOOKUP($AOR10,Consolidacion_respuestas!$B:$BM,MATCH(Cuadros!AMX9,Consolidacion_respuestas!$33:$33,0)-1,FALSE),"")</f>
        <v/>
      </c>
      <c r="AMY10" s="343" t="str">
        <f>+IFERROR(VLOOKUP($AOR10,Consolidacion_respuestas!$B:$BM,MATCH(Cuadros!AMY9,Consolidacion_respuestas!$33:$33,0)-1,FALSE),"")</f>
        <v/>
      </c>
      <c r="AMZ10" s="369" t="str">
        <f>+IFERROR(VLOOKUP(AOR10,Consolidacion_respuestas!$B:$BM,MATCH(AMZ9,Consolidacion_respuestas!$33:$33,0)-1,FALSE),"")</f>
        <v/>
      </c>
      <c r="ANA10" s="369" t="str">
        <f>+IFERROR(VLOOKUP($AOR10,Consolidacion_respuestas!$B:$BM,MATCH(Cuadros!ANA9,Consolidacion_respuestas!$33:$33,0)-1,FALSE),"")</f>
        <v/>
      </c>
      <c r="ANB10" s="369" t="str">
        <f>+IFERROR(VLOOKUP($AOR10,Consolidacion_respuestas!$B:$BM,MATCH(Cuadros!ANB9,Consolidacion_respuestas!$33:$33,0)-1,FALSE),"")</f>
        <v/>
      </c>
      <c r="ANC10" s="369" t="str">
        <f>+IFERROR(VLOOKUP($AOR10,Consolidacion_respuestas!$B:$BM,MATCH(Cuadros!ANC9,Consolidacion_respuestas!$33:$33,0)-1,FALSE),"")</f>
        <v/>
      </c>
      <c r="AND10" s="369" t="str">
        <f>+IFERROR(VLOOKUP($AOR10,Consolidacion_respuestas!$B:$BM,MATCH(Cuadros!AND9,Consolidacion_respuestas!$33:$33,0)-1,FALSE),"")</f>
        <v/>
      </c>
      <c r="ANE10" s="369" t="str">
        <f>+IFERROR(VLOOKUP($AOR10,Consolidacion_respuestas!$B:$BM,MATCH(Cuadros!ANE9,Consolidacion_respuestas!$33:$33,0)-1,FALSE),"")</f>
        <v/>
      </c>
      <c r="ANF10" s="369" t="str">
        <f>+IFERROR(VLOOKUP($AOR10,Consolidacion_respuestas!$B:$BM,MATCH(Cuadros!ANF9,Consolidacion_respuestas!$33:$33,0)-1,FALSE),"")</f>
        <v/>
      </c>
      <c r="ANG10" s="369" t="str">
        <f>+IFERROR(VLOOKUP($AOR10,Consolidacion_respuestas!$B:$BM,MATCH(Cuadros!ANG9,Consolidacion_respuestas!$33:$33,0)-1,FALSE),"")</f>
        <v/>
      </c>
      <c r="ANH10" s="369" t="str">
        <f>+IFERROR(VLOOKUP($AOR10,Consolidacion_respuestas!$B:$BM,MATCH(Cuadros!ANH9,Consolidacion_respuestas!$33:$33,0)-1,FALSE),"")</f>
        <v/>
      </c>
      <c r="ANI10" s="369" t="str">
        <f>+IFERROR(VLOOKUP($AOR10,Consolidacion_respuestas!$B:$BM,MATCH(Cuadros!ANI9,Consolidacion_respuestas!$33:$33,0)-1,FALSE),"")</f>
        <v/>
      </c>
      <c r="ANJ10" s="369" t="str">
        <f>+IFERROR(VLOOKUP($AOR10,Consolidacion_respuestas!$B:$BM,MATCH(Cuadros!ANJ9,Consolidacion_respuestas!$33:$33,0)-1,FALSE),"")</f>
        <v/>
      </c>
      <c r="ANK10" s="343" t="str">
        <f>+IFERROR(VLOOKUP(AOR10,Consolidacion_respuestas!$B:$BM,MATCH(ANK9,Consolidacion_respuestas!$33:$33,0)-1,FALSE),"")</f>
        <v/>
      </c>
      <c r="ANL10" s="343" t="str">
        <f>+IFERROR(VLOOKUP($AOR10,Consolidacion_respuestas!$B:$BM,MATCH(Cuadros!ANL9,Consolidacion_respuestas!$33:$33,0)-1,FALSE),"")</f>
        <v/>
      </c>
      <c r="ANM10" s="343" t="str">
        <f>+IFERROR(VLOOKUP($AOR10,Consolidacion_respuestas!$B:$BM,MATCH(Cuadros!ANM9,Consolidacion_respuestas!$33:$33,0)-1,FALSE),"")</f>
        <v/>
      </c>
      <c r="ANN10" s="371" t="str">
        <f>+IFERROR(VLOOKUP(AOR10,Consolidacion_respuestas!$B:$BM,MATCH(ANN9,Consolidacion_respuestas!$33:$33,0)-1,FALSE),"")</f>
        <v/>
      </c>
      <c r="ANO10" s="371" t="str">
        <f>+IFERROR(VLOOKUP($AOR10,Consolidacion_respuestas!$B:$BM,MATCH(Cuadros!ANO9,Consolidacion_respuestas!$33:$33,0)-1,FALSE),"")</f>
        <v/>
      </c>
      <c r="ANP10" s="371" t="str">
        <f>+IFERROR(VLOOKUP($AOR10,Consolidacion_respuestas!$B:$BM,MATCH(Cuadros!ANP9,Consolidacion_respuestas!$33:$33,0)-1,FALSE),"")</f>
        <v/>
      </c>
      <c r="ANQ10" s="371" t="str">
        <f>+IFERROR(VLOOKUP(AOR10,Consolidacion_respuestas!$B:$BM,MATCH(ANQ9,Consolidacion_respuestas!$33:$33,0)-1,FALSE),"")</f>
        <v/>
      </c>
      <c r="ANR10" s="371" t="str">
        <f>+IFERROR(VLOOKUP($AOR10,Consolidacion_respuestas!$B:$BM,MATCH(Cuadros!ANR9,Consolidacion_respuestas!$33:$33,0)-1,FALSE),"")</f>
        <v/>
      </c>
      <c r="ANS10" s="371" t="str">
        <f>+IFERROR(VLOOKUP($AOR10,Consolidacion_respuestas!$B:$BM,MATCH(Cuadros!ANS9,Consolidacion_respuestas!$33:$33,0)-1,FALSE),"")</f>
        <v/>
      </c>
      <c r="ANT10" s="401" t="str">
        <f>+IFERROR(VLOOKUP(AOR10,Consolidacion_respuestas!$B:$BM,MATCH(ANT9,Consolidacion_respuestas!$33:$33,0)-1,FALSE),"")</f>
        <v/>
      </c>
      <c r="ANU10" s="401" t="str">
        <f>+IFERROR(VLOOKUP($AOR10,Consolidacion_respuestas!$B:$BM,MATCH(Cuadros!ANU9,Consolidacion_respuestas!$33:$33,0)-1,FALSE),"")</f>
        <v/>
      </c>
      <c r="ANV10" s="371" t="str">
        <f>+IFERROR(VLOOKUP(AOR10,Consolidacion_respuestas!$B:$BM,MATCH(ANV9,Consolidacion_respuestas!$33:$33,0)-1,FALSE),"")</f>
        <v/>
      </c>
      <c r="ANW10" s="371" t="str">
        <f>+IFERROR(VLOOKUP($AOR10,Consolidacion_respuestas!$B:$BM,MATCH(Cuadros!ANW9,Consolidacion_respuestas!$33:$33,0)-1,FALSE),"")</f>
        <v/>
      </c>
      <c r="ANX10" s="371" t="str">
        <f>+IFERROR(VLOOKUP($AOR10,Consolidacion_respuestas!$B:$BM,MATCH(Cuadros!ANX9,Consolidacion_respuestas!$33:$33,0)-1,FALSE),"")</f>
        <v/>
      </c>
      <c r="ANY10" s="371" t="str">
        <f>+IFERROR(VLOOKUP(AOR10,Consolidacion_respuestas!$B:$BM,MATCH(ANY9,Consolidacion_respuestas!$33:$33,0)-1,FALSE),"")</f>
        <v/>
      </c>
      <c r="ANZ10" s="371" t="str">
        <f>+IFERROR(VLOOKUP($AOR10,Consolidacion_respuestas!$B:$BM,MATCH(Cuadros!ANZ9,Consolidacion_respuestas!$33:$33,0)-1,FALSE),"")</f>
        <v/>
      </c>
      <c r="AOA10" s="371" t="str">
        <f>+IFERROR(VLOOKUP($AOR10,Consolidacion_respuestas!$B:$BM,MATCH(Cuadros!AOA9,Consolidacion_respuestas!$33:$33,0)-1,FALSE),"")</f>
        <v/>
      </c>
      <c r="AOB10" s="369" t="str">
        <f>+IFERROR(VLOOKUP(AOR10,Consolidacion_respuestas!$B:$BM,MATCH(AOB9,Consolidacion_respuestas!$33:$33,0)-1,FALSE),"")</f>
        <v/>
      </c>
      <c r="AOC10" s="369" t="str">
        <f>+IFERROR(VLOOKUP($AOR10,Consolidacion_respuestas!$B:$BM,MATCH(Cuadros!AOC9,Consolidacion_respuestas!$33:$33,0)-1,FALSE),"")</f>
        <v/>
      </c>
      <c r="AOD10" s="402" t="str">
        <f>+IFERROR(VLOOKUP(AOR10,Consolidacion_respuestas!$B:$BM,MATCH(AOD9,Consolidacion_respuestas!$33:$33,0)-1,FALSE),"")</f>
        <v/>
      </c>
      <c r="AOE10" s="402" t="str">
        <f>+IFERROR(VLOOKUP($AOR10,Consolidacion_respuestas!$B:$BM,MATCH(Cuadros!AOE9,Consolidacion_respuestas!$33:$33,0)-1,FALSE),"")</f>
        <v/>
      </c>
      <c r="AOF10" s="371" t="str">
        <f>+IFERROR(VLOOKUP(AOR10,Consolidacion_respuestas!$B:$BM,MATCH(AOF9,Consolidacion_respuestas!$33:$33,0)-1,FALSE),"")</f>
        <v/>
      </c>
      <c r="AOG10" s="371" t="str">
        <f>+IFERROR(VLOOKUP($AOR10,Consolidacion_respuestas!$B:$BM,MATCH(Cuadros!AOG9,Consolidacion_respuestas!$33:$33,0)-1,FALSE),"")</f>
        <v/>
      </c>
      <c r="AOH10" s="371" t="str">
        <f>+IFERROR(VLOOKUP($AOR10,Consolidacion_respuestas!$B:$BM,MATCH(Cuadros!AOH9,Consolidacion_respuestas!$33:$33,0)-1,FALSE),"")</f>
        <v/>
      </c>
      <c r="AOI10" s="371" t="str">
        <f>+IFERROR(VLOOKUP(AOR10,Consolidacion_respuestas!$B:$BM,MATCH(AOI9,Consolidacion_respuestas!$33:$33,0)-1,FALSE),"")</f>
        <v/>
      </c>
      <c r="AOJ10" s="371" t="str">
        <f>+IFERROR(VLOOKUP($AOR10,Consolidacion_respuestas!$B:$BM,MATCH(Cuadros!AOJ9,Consolidacion_respuestas!$33:$33,0)-1,FALSE),"")</f>
        <v/>
      </c>
      <c r="AOK10" s="371" t="str">
        <f>+IFERROR(VLOOKUP($AOR10,Consolidacion_respuestas!$B:$BM,MATCH(Cuadros!AOK9,Consolidacion_respuestas!$33:$33,0)-1,FALSE),"")</f>
        <v/>
      </c>
      <c r="AOL10" s="343" t="str">
        <f>+IFERROR(VLOOKUP(AOR10,Consolidacion_respuestas!$B:$BM,MATCH(AOL9,Consolidacion_respuestas!$33:$33,0)-1,FALSE),"")</f>
        <v/>
      </c>
      <c r="AOM10" s="343" t="str">
        <f>+IFERROR(VLOOKUP($AOR10,Consolidacion_respuestas!$B:$BM,MATCH(Cuadros!AOM9,Consolidacion_respuestas!$33:$33,0)-1,FALSE),"")</f>
        <v/>
      </c>
      <c r="AON10" s="343" t="str">
        <f>+IFERROR(VLOOKUP($AOR10,Consolidacion_respuestas!$B:$BM,MATCH(Cuadros!AON9,Consolidacion_respuestas!$33:$33,0)-1,FALSE),"")</f>
        <v/>
      </c>
      <c r="AOO10" s="369" t="str">
        <f>+IFERROR(VLOOKUP(AOR10,Consolidacion_respuestas!$B:$BM,MATCH(AOO9,Consolidacion_respuestas!$33:$33,0)-1,FALSE),"")</f>
        <v/>
      </c>
      <c r="AOP10" s="369" t="str">
        <f>+IFERROR(VLOOKUP($AOR10,Consolidacion_respuestas!$B:$BM,MATCH(Cuadros!AOP9,Consolidacion_respuestas!$33:$33,0)-1,FALSE),"")</f>
        <v/>
      </c>
      <c r="AOQ10" s="369" t="str">
        <f>+IFERROR(VLOOKUP($AOR10,Consolidacion_respuestas!$B:$BM,MATCH(Cuadros!AOQ9,Consolidacion_respuestas!$33:$33,0)-1,FALSE),"")</f>
        <v/>
      </c>
      <c r="AOR10" s="389"/>
      <c r="AOS10" s="389"/>
      <c r="AOT10" s="389"/>
      <c r="AOU10" s="389"/>
      <c r="AOV10" s="389"/>
      <c r="AOW10" s="389"/>
      <c r="AOX10" s="157" t="str">
        <f>+AMW10&amp;"-R" &amp; RIGHT(AOL10,1)</f>
        <v>-R</v>
      </c>
    </row>
    <row r="11" spans="1:1090" s="15" customFormat="1" ht="30" customHeight="1">
      <c r="FS11" s="262" t="str">
        <f>"Versión:" &amp; Var!$F$10</f>
        <v>Versión:7        05/02/2026</v>
      </c>
      <c r="FT11" s="262"/>
      <c r="FU11" s="262"/>
      <c r="FV11" s="262"/>
      <c r="FW11" s="262"/>
      <c r="FX11" s="262"/>
      <c r="FY11" s="257" t="str">
        <f>+Var!$F$21</f>
        <v>Material de Intendencia III</v>
      </c>
      <c r="FZ11" s="257"/>
      <c r="GA11" s="257"/>
      <c r="GB11" s="257"/>
      <c r="GC11" s="257"/>
      <c r="GD11" s="257"/>
      <c r="GE11" s="257"/>
      <c r="GF11" s="257"/>
      <c r="GG11" s="257"/>
      <c r="GH11" s="257"/>
      <c r="GI11" s="257"/>
      <c r="GJ11" s="257"/>
      <c r="GK11" s="257"/>
      <c r="GL11" s="257"/>
      <c r="GM11" s="257"/>
      <c r="GN11" s="257"/>
      <c r="GO11" s="60"/>
      <c r="GP11" s="60"/>
      <c r="GQ11" s="60"/>
      <c r="GR11" s="60"/>
      <c r="GS11" s="60"/>
      <c r="GT11" s="60"/>
      <c r="GU11" s="53"/>
      <c r="GV11" s="53"/>
      <c r="GW11" s="53"/>
      <c r="GX11" s="53"/>
      <c r="GY11" s="53"/>
      <c r="GZ11" s="262" t="str">
        <f>"Versión:" &amp; Var!$F$10</f>
        <v>Versión:7        05/02/2026</v>
      </c>
      <c r="HA11" s="262"/>
      <c r="HB11" s="262"/>
      <c r="HC11" s="262"/>
      <c r="HD11" s="262"/>
      <c r="HE11" s="262"/>
      <c r="HF11" s="257" t="str">
        <f>+Var!$F$21</f>
        <v>Material de Intendencia III</v>
      </c>
      <c r="HG11" s="257"/>
      <c r="HH11" s="257"/>
      <c r="HI11" s="257"/>
      <c r="HJ11" s="257"/>
      <c r="HK11" s="257"/>
      <c r="HL11" s="257"/>
      <c r="HM11" s="257"/>
      <c r="HN11" s="257"/>
      <c r="HO11" s="257"/>
      <c r="HP11" s="257"/>
      <c r="HQ11" s="257"/>
      <c r="HR11" s="257"/>
      <c r="HS11" s="257"/>
      <c r="HT11" s="257"/>
      <c r="HU11" s="257"/>
      <c r="HV11" s="60"/>
      <c r="HW11" s="60"/>
      <c r="HX11" s="60"/>
      <c r="HY11" s="60"/>
      <c r="HZ11" s="60"/>
      <c r="IA11" s="60"/>
      <c r="IB11" s="53"/>
      <c r="IC11" s="53"/>
      <c r="ID11" s="53"/>
      <c r="IE11" s="53"/>
      <c r="IF11" s="53"/>
      <c r="IG11" s="262" t="str">
        <f>"Versión:" &amp; Var!$F$10</f>
        <v>Versión:7        05/02/2026</v>
      </c>
      <c r="IH11" s="262"/>
      <c r="II11" s="262"/>
      <c r="IJ11" s="262"/>
      <c r="IK11" s="262"/>
      <c r="IL11" s="262"/>
      <c r="IM11" s="257" t="str">
        <f>+Var!$F$21</f>
        <v>Material de Intendencia III</v>
      </c>
      <c r="IN11" s="257"/>
      <c r="IO11" s="257"/>
      <c r="IP11" s="257"/>
      <c r="IQ11" s="257"/>
      <c r="IR11" s="257"/>
      <c r="IS11" s="257"/>
      <c r="IT11" s="257"/>
      <c r="IU11" s="257"/>
      <c r="IV11" s="257"/>
      <c r="IW11" s="257"/>
      <c r="IX11" s="257"/>
      <c r="IY11" s="257"/>
      <c r="IZ11" s="257"/>
      <c r="JA11" s="257"/>
      <c r="JB11" s="257"/>
      <c r="JC11" s="60"/>
      <c r="JD11" s="60"/>
      <c r="JE11" s="60"/>
      <c r="JF11" s="60"/>
      <c r="JG11" s="60"/>
      <c r="JH11" s="60"/>
      <c r="JK11" s="495" t="s">
        <v>185</v>
      </c>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71" t="s">
        <v>1325</v>
      </c>
      <c r="NI11" s="271"/>
      <c r="NJ11" s="271"/>
      <c r="NK11" s="371">
        <f ca="1">+NK10+NK9</f>
        <v>0</v>
      </c>
      <c r="NL11" s="371"/>
      <c r="NM11" s="371"/>
      <c r="NN11" s="371"/>
      <c r="NV11" s="271" t="s">
        <v>3923</v>
      </c>
      <c r="NW11" s="271"/>
      <c r="NX11" s="271"/>
      <c r="NY11" s="371">
        <f ca="1">+NY10+NY9</f>
        <v>0</v>
      </c>
      <c r="NZ11" s="371"/>
      <c r="OA11" s="371"/>
      <c r="OB11" s="371"/>
      <c r="OC11"/>
      <c r="OD11"/>
      <c r="OE11"/>
      <c r="OF11"/>
      <c r="OG11"/>
      <c r="OH11"/>
      <c r="OI11"/>
      <c r="OJ11"/>
      <c r="OK11"/>
      <c r="OL11"/>
      <c r="OM11"/>
      <c r="PN11"/>
      <c r="PO11"/>
      <c r="PP11"/>
      <c r="PQ11"/>
      <c r="PR11"/>
      <c r="PS11"/>
      <c r="PT11"/>
      <c r="PU11"/>
      <c r="PV11"/>
      <c r="PW11"/>
      <c r="PX11"/>
      <c r="QY11"/>
      <c r="QZ11"/>
      <c r="RA11"/>
      <c r="TC11" s="287"/>
      <c r="ZL11" s="75" t="e">
        <f>IFERROR(IF(ZL10="Ítem",1,ROW()-ROW(SolCotizacion!#REF!)),ROW()-ROW(SolCotizacion!#REF!))</f>
        <v>#REF!</v>
      </c>
      <c r="ZM11" s="439" t="s">
        <v>1465</v>
      </c>
      <c r="ZN11" s="440"/>
      <c r="ZO11" s="440"/>
      <c r="ZP11" s="440"/>
      <c r="ZQ11" s="440"/>
      <c r="ZR11" s="440"/>
      <c r="ZS11" s="440"/>
      <c r="ZT11" s="440"/>
      <c r="ZU11" s="440"/>
      <c r="ZV11" s="440"/>
      <c r="ZW11" s="440"/>
      <c r="ZX11" s="441"/>
      <c r="ZY11" s="439"/>
      <c r="ZZ11" s="440"/>
      <c r="AAA11" s="440"/>
      <c r="AAB11" s="440"/>
      <c r="AAC11" s="440"/>
      <c r="AAD11" s="440"/>
      <c r="AAE11" s="440"/>
      <c r="AAF11" s="440"/>
      <c r="AAG11" s="440"/>
      <c r="AAH11" s="440"/>
      <c r="AAI11" s="440"/>
      <c r="AAJ11" s="440"/>
      <c r="AAK11" s="440"/>
      <c r="AAL11" s="440"/>
      <c r="AAM11" s="441"/>
      <c r="ACQ11" s="271" t="s">
        <v>1325</v>
      </c>
      <c r="ACR11" s="271"/>
      <c r="ACS11" s="271"/>
      <c r="ACT11" s="371">
        <f>+ACT10+ACT9</f>
        <v>0</v>
      </c>
      <c r="ACU11" s="371"/>
      <c r="ACV11" s="371"/>
      <c r="ACW11" s="371"/>
    </row>
    <row r="12" spans="1:1090" ht="30" customHeight="1" thickBot="1">
      <c r="FS12" s="263"/>
      <c r="FT12" s="263"/>
      <c r="FU12" s="263"/>
      <c r="FV12" s="263"/>
      <c r="FW12" s="263"/>
      <c r="FX12" s="263"/>
      <c r="FY12" s="257"/>
      <c r="FZ12" s="257"/>
      <c r="GA12" s="257"/>
      <c r="GB12" s="257"/>
      <c r="GC12" s="257"/>
      <c r="GD12" s="257"/>
      <c r="GE12" s="257"/>
      <c r="GF12" s="257"/>
      <c r="GG12" s="257"/>
      <c r="GH12" s="257"/>
      <c r="GI12" s="257"/>
      <c r="GJ12" s="257"/>
      <c r="GK12" s="257"/>
      <c r="GL12" s="257"/>
      <c r="GM12" s="257"/>
      <c r="GN12" s="257"/>
      <c r="GO12" s="60"/>
      <c r="GP12" s="60"/>
      <c r="GQ12" s="60"/>
      <c r="GR12" s="60"/>
      <c r="GS12" s="60"/>
      <c r="GT12" s="60"/>
      <c r="GU12" s="53"/>
      <c r="GV12" s="53"/>
      <c r="GW12" s="53"/>
      <c r="GX12" s="53"/>
      <c r="GY12" s="53"/>
      <c r="GZ12" s="263"/>
      <c r="HA12" s="263"/>
      <c r="HB12" s="263"/>
      <c r="HC12" s="263"/>
      <c r="HD12" s="263"/>
      <c r="HE12" s="263"/>
      <c r="HF12" s="257"/>
      <c r="HG12" s="257"/>
      <c r="HH12" s="257"/>
      <c r="HI12" s="257"/>
      <c r="HJ12" s="257"/>
      <c r="HK12" s="257"/>
      <c r="HL12" s="257"/>
      <c r="HM12" s="257"/>
      <c r="HN12" s="257"/>
      <c r="HO12" s="257"/>
      <c r="HP12" s="257"/>
      <c r="HQ12" s="257"/>
      <c r="HR12" s="257"/>
      <c r="HS12" s="257"/>
      <c r="HT12" s="257"/>
      <c r="HU12" s="257"/>
      <c r="HV12" s="60"/>
      <c r="HW12" s="60"/>
      <c r="HX12" s="60"/>
      <c r="HY12" s="60"/>
      <c r="HZ12" s="60"/>
      <c r="IA12" s="60"/>
      <c r="IB12" s="53"/>
      <c r="IC12" s="53"/>
      <c r="ID12" s="53"/>
      <c r="IE12" s="53"/>
      <c r="IF12" s="53"/>
      <c r="IG12" s="263"/>
      <c r="IH12" s="263"/>
      <c r="II12" s="263"/>
      <c r="IJ12" s="263"/>
      <c r="IK12" s="263"/>
      <c r="IL12" s="263"/>
      <c r="IM12" s="257"/>
      <c r="IN12" s="257"/>
      <c r="IO12" s="257"/>
      <c r="IP12" s="257"/>
      <c r="IQ12" s="257"/>
      <c r="IR12" s="257"/>
      <c r="IS12" s="257"/>
      <c r="IT12" s="257"/>
      <c r="IU12" s="257"/>
      <c r="IV12" s="257"/>
      <c r="IW12" s="257"/>
      <c r="IX12" s="257"/>
      <c r="IY12" s="257"/>
      <c r="IZ12" s="257"/>
      <c r="JA12" s="257"/>
      <c r="JB12" s="257"/>
      <c r="JC12" s="60"/>
      <c r="JD12" s="60"/>
      <c r="JE12" s="60"/>
      <c r="JF12" s="60"/>
      <c r="JG12" s="60"/>
      <c r="JH12" s="60"/>
      <c r="JK12" s="495"/>
      <c r="JL12" s="495"/>
      <c r="JM12" s="495"/>
      <c r="JN12" s="495"/>
      <c r="JO12" s="495"/>
      <c r="JP12" s="495"/>
      <c r="JQ12" s="495"/>
      <c r="JR12" s="495"/>
      <c r="JS12" s="495"/>
      <c r="JT12" s="495"/>
      <c r="JU12" s="495"/>
      <c r="JV12" s="495"/>
      <c r="JW12" s="495"/>
      <c r="JX12" s="495"/>
      <c r="JY12" s="495"/>
      <c r="JZ12" s="495"/>
      <c r="KA12" s="495"/>
      <c r="KB12" s="495"/>
      <c r="KC12" s="495"/>
      <c r="KD12" s="495"/>
      <c r="KE12" s="495"/>
      <c r="KF12" s="495"/>
      <c r="KG12" s="495"/>
      <c r="NV12" s="271" t="s">
        <v>3928</v>
      </c>
      <c r="NW12" s="271"/>
      <c r="NX12" s="271"/>
      <c r="NY12" s="414" t="str">
        <f ca="1">+IFERROR(ROUND(ResCotizacion!$AE$22/NY11,0),"")</f>
        <v/>
      </c>
      <c r="NZ12" s="415"/>
      <c r="OA12" s="415"/>
      <c r="OB12" s="416"/>
      <c r="TC12" s="288" t="s">
        <v>162</v>
      </c>
      <c r="VK12" t="s">
        <v>1392</v>
      </c>
      <c r="ZL12" s="75" t="e">
        <f>IFERROR(IF(ZL11="Ítem",1,ROW()-ROW(SolCotizacion!#REF!)),ROW()-ROW(SolCotizacion!#REF!))</f>
        <v>#REF!</v>
      </c>
      <c r="ZM12" s="439" t="s">
        <v>1466</v>
      </c>
      <c r="ZN12" s="440"/>
      <c r="ZO12" s="440"/>
      <c r="ZP12" s="440"/>
      <c r="ZQ12" s="440"/>
      <c r="ZR12" s="440"/>
      <c r="ZS12" s="440"/>
      <c r="ZT12" s="440"/>
      <c r="ZU12" s="440"/>
      <c r="ZV12" s="440"/>
      <c r="ZW12" s="440"/>
      <c r="ZX12" s="441"/>
      <c r="ZY12" s="439"/>
      <c r="ZZ12" s="440"/>
      <c r="AAA12" s="440"/>
      <c r="AAB12" s="440"/>
      <c r="AAC12" s="440"/>
      <c r="AAD12" s="440"/>
      <c r="AAE12" s="440"/>
      <c r="AAF12" s="440"/>
      <c r="AAG12" s="440"/>
      <c r="AAH12" s="440"/>
      <c r="AAI12" s="440"/>
      <c r="AAJ12" s="440"/>
      <c r="AAK12" s="440"/>
      <c r="AAL12" s="440"/>
      <c r="AAM12" s="441"/>
    </row>
    <row r="13" spans="1:1090" ht="30" customHeight="1">
      <c r="O13" s="18"/>
      <c r="P13" s="18"/>
      <c r="Q13" s="18"/>
      <c r="R13" s="18"/>
      <c r="S13" s="18"/>
      <c r="T13" s="18"/>
      <c r="U13" s="18"/>
      <c r="V13" s="18"/>
      <c r="FS13" s="259" t="s">
        <v>3909</v>
      </c>
      <c r="FT13" s="259"/>
      <c r="FU13" s="259"/>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Z13" s="259" t="s">
        <v>3909</v>
      </c>
      <c r="HA13" s="259"/>
      <c r="HB13" s="259"/>
      <c r="HC13" s="259"/>
      <c r="HD13" s="259"/>
      <c r="HE13" s="259"/>
      <c r="HF13" s="259"/>
      <c r="HG13" s="259"/>
      <c r="HH13" s="259"/>
      <c r="HI13" s="259"/>
      <c r="HJ13" s="259"/>
      <c r="HK13" s="259"/>
      <c r="HL13" s="259"/>
      <c r="HM13" s="259"/>
      <c r="HN13" s="259"/>
      <c r="HO13" s="259"/>
      <c r="HP13" s="259"/>
      <c r="HQ13" s="259"/>
      <c r="HR13" s="259"/>
      <c r="HS13" s="259"/>
      <c r="HT13" s="259"/>
      <c r="HU13" s="259"/>
      <c r="HV13" s="259"/>
      <c r="HW13" s="259"/>
      <c r="HX13" s="259"/>
      <c r="HY13" s="259"/>
      <c r="HZ13" s="259"/>
      <c r="IA13" s="259"/>
      <c r="IG13" s="259" t="s">
        <v>3909</v>
      </c>
      <c r="IH13" s="259"/>
      <c r="II13" s="259"/>
      <c r="IJ13" s="259"/>
      <c r="IK13" s="259"/>
      <c r="IL13" s="259"/>
      <c r="IM13" s="259"/>
      <c r="IN13" s="259"/>
      <c r="IO13" s="259"/>
      <c r="IP13" s="259"/>
      <c r="IQ13" s="259"/>
      <c r="IR13" s="259"/>
      <c r="IS13" s="259"/>
      <c r="IT13" s="259"/>
      <c r="IU13" s="259"/>
      <c r="IV13" s="259"/>
      <c r="IW13" s="259"/>
      <c r="IX13" s="259"/>
      <c r="IY13" s="259"/>
      <c r="IZ13" s="259"/>
      <c r="JA13" s="259"/>
      <c r="JB13" s="259"/>
      <c r="JC13" s="259"/>
      <c r="JD13" s="259"/>
      <c r="JE13" s="259"/>
      <c r="JF13" s="259"/>
      <c r="JG13" s="259"/>
      <c r="JH13" s="259"/>
      <c r="TC13" s="289"/>
      <c r="TQ13" s="127" t="s">
        <v>263</v>
      </c>
      <c r="TR13" s="503" t="s">
        <v>1266</v>
      </c>
      <c r="TS13" s="503"/>
      <c r="TT13" s="445" t="s">
        <v>1420</v>
      </c>
      <c r="TU13" s="446"/>
      <c r="TV13" s="446"/>
      <c r="TW13" s="446"/>
      <c r="TX13" s="446"/>
      <c r="TY13" s="446"/>
      <c r="TZ13" s="445" t="s">
        <v>1</v>
      </c>
      <c r="UA13" s="446"/>
      <c r="UB13" s="446"/>
      <c r="UC13" s="442" t="s">
        <v>156</v>
      </c>
      <c r="UD13" s="443"/>
      <c r="UE13" s="444"/>
      <c r="UF13" s="125" t="s">
        <v>1767</v>
      </c>
      <c r="UG13" s="125" t="s">
        <v>1324</v>
      </c>
      <c r="UH13" s="94" t="s">
        <v>1450</v>
      </c>
      <c r="UI13" s="442" t="s">
        <v>1905</v>
      </c>
      <c r="UJ13" s="444"/>
      <c r="UK13" s="503" t="s">
        <v>1908</v>
      </c>
      <c r="UL13" s="503"/>
      <c r="UM13" s="503" t="s">
        <v>1906</v>
      </c>
      <c r="UN13" s="503"/>
      <c r="UO13" s="442" t="s">
        <v>1907</v>
      </c>
      <c r="UP13" s="444"/>
      <c r="UQ13" s="503" t="s">
        <v>1768</v>
      </c>
      <c r="UR13" s="503"/>
      <c r="ZL13" s="75" t="e">
        <f>IFERROR(IF(ZL12="Ítem",1,ROW()-ROW(SolCotizacion!#REF!)),ROW()-ROW(SolCotizacion!#REF!))</f>
        <v>#REF!</v>
      </c>
      <c r="ZM13" s="439" t="s">
        <v>1467</v>
      </c>
      <c r="ZN13" s="440"/>
      <c r="ZO13" s="440"/>
      <c r="ZP13" s="440"/>
      <c r="ZQ13" s="440"/>
      <c r="ZR13" s="440"/>
      <c r="ZS13" s="440"/>
      <c r="ZT13" s="440"/>
      <c r="ZU13" s="440"/>
      <c r="ZV13" s="440"/>
      <c r="ZW13" s="440"/>
      <c r="ZX13" s="441"/>
      <c r="ZY13" s="439"/>
      <c r="ZZ13" s="440"/>
      <c r="AAA13" s="440"/>
      <c r="AAB13" s="440"/>
      <c r="AAC13" s="440"/>
      <c r="AAD13" s="440"/>
      <c r="AAE13" s="440"/>
      <c r="AAF13" s="440"/>
      <c r="AAG13" s="440"/>
      <c r="AAH13" s="440"/>
      <c r="AAI13" s="440"/>
      <c r="AAJ13" s="440"/>
      <c r="AAK13" s="440"/>
      <c r="AAL13" s="440"/>
      <c r="AAM13" s="441"/>
      <c r="AFM13" s="127" t="s">
        <v>263</v>
      </c>
      <c r="AFN13" s="503" t="s">
        <v>1266</v>
      </c>
      <c r="AFO13" s="503"/>
      <c r="AFP13" s="445" t="s">
        <v>1420</v>
      </c>
      <c r="AFQ13" s="446"/>
      <c r="AFR13" s="446"/>
      <c r="AFS13" s="446"/>
      <c r="AFT13" s="446"/>
      <c r="AFU13" s="446"/>
      <c r="AFV13" s="445" t="s">
        <v>1</v>
      </c>
      <c r="AFW13" s="446"/>
      <c r="AFX13" s="446"/>
      <c r="AFY13" s="442" t="s">
        <v>156</v>
      </c>
      <c r="AFZ13" s="443"/>
      <c r="AGA13" s="444"/>
      <c r="AGB13" s="125" t="s">
        <v>1767</v>
      </c>
      <c r="AGC13" s="125" t="s">
        <v>1324</v>
      </c>
      <c r="AGD13" s="94" t="s">
        <v>1450</v>
      </c>
      <c r="AGE13" s="442" t="s">
        <v>1905</v>
      </c>
      <c r="AGF13" s="444"/>
      <c r="AGG13" s="503" t="s">
        <v>1908</v>
      </c>
      <c r="AGH13" s="503"/>
      <c r="AGI13" s="503" t="s">
        <v>1906</v>
      </c>
      <c r="AGJ13" s="503"/>
      <c r="AGK13" s="442" t="s">
        <v>1907</v>
      </c>
      <c r="AGL13" s="444"/>
      <c r="AGM13" s="503" t="s">
        <v>1768</v>
      </c>
      <c r="AGN13" s="503"/>
    </row>
    <row r="14" spans="1:1090" ht="14.25" customHeight="1">
      <c r="P14" s="11"/>
      <c r="Q14" s="11"/>
      <c r="R14" s="11"/>
      <c r="S14" s="11"/>
      <c r="T14" s="11"/>
      <c r="U14" s="11"/>
      <c r="V14" s="11"/>
      <c r="TC14" s="294" t="s">
        <v>163</v>
      </c>
      <c r="TQ14" s="75">
        <f>IFERROR(IF(TQ13="Ítem",1,ROW()-ROW(SolCotizacion!#REF!)),ROW()-ROW(SolCotizacion!#REF!))</f>
        <v>1</v>
      </c>
      <c r="TR14" s="504"/>
      <c r="TS14" s="504"/>
      <c r="TT14" s="505" t="str">
        <f>+IFERROR(VLOOKUP($G14,Cat_Filtro1!$D:$U,MATCH(SolCotizacion!#REF!,Cat_Filtro1!$1:$1,0)-3,FALSE),"")</f>
        <v/>
      </c>
      <c r="TU14" s="505"/>
      <c r="TV14" s="505"/>
      <c r="TW14" s="505"/>
      <c r="TX14" s="505"/>
      <c r="TY14" s="505"/>
      <c r="TZ14" s="504"/>
      <c r="UA14" s="504"/>
      <c r="UB14" s="504"/>
      <c r="UC14" s="504"/>
      <c r="UD14" s="504"/>
      <c r="UE14" s="504"/>
      <c r="UF14" s="126" t="s">
        <v>240</v>
      </c>
      <c r="UG14" s="126" t="s">
        <v>1374</v>
      </c>
      <c r="UH14" s="126"/>
      <c r="UI14" s="504" t="s">
        <v>240</v>
      </c>
      <c r="UJ14" s="504"/>
      <c r="UK14" s="506" t="e">
        <f>+AVERAGEIF(Cat_Filtro1!PS:PS,SolCotizacion!PV14,Cat_Filtro1!PV:PV)</f>
        <v>#DIV/0!</v>
      </c>
      <c r="UL14" s="506"/>
      <c r="UM14" s="507" t="e">
        <f>+UK14/SUM(UK14:UL14)</f>
        <v>#DIV/0!</v>
      </c>
      <c r="UN14" s="507"/>
      <c r="UO14" s="508" t="s">
        <v>102</v>
      </c>
      <c r="UP14" s="508"/>
      <c r="UQ14" s="307"/>
      <c r="UR14" s="307"/>
      <c r="VK14" t="s">
        <v>1393</v>
      </c>
      <c r="ZL14" s="75" t="e">
        <f>IFERROR(IF(ZL13="Ítem",1,ROW()-ROW(SolCotizacion!#REF!)),ROW()-ROW(SolCotizacion!#REF!))</f>
        <v>#REF!</v>
      </c>
      <c r="ZM14" s="439" t="s">
        <v>1468</v>
      </c>
      <c r="ZN14" s="440"/>
      <c r="ZO14" s="440"/>
      <c r="ZP14" s="440"/>
      <c r="ZQ14" s="440"/>
      <c r="ZR14" s="440"/>
      <c r="ZS14" s="440"/>
      <c r="ZT14" s="440"/>
      <c r="ZU14" s="440"/>
      <c r="ZV14" s="440"/>
      <c r="ZW14" s="440"/>
      <c r="ZX14" s="441"/>
      <c r="ZY14" s="439"/>
      <c r="ZZ14" s="440"/>
      <c r="AAA14" s="440"/>
      <c r="AAB14" s="440"/>
      <c r="AAC14" s="440"/>
      <c r="AAD14" s="440"/>
      <c r="AAE14" s="440"/>
      <c r="AAF14" s="440"/>
      <c r="AAG14" s="440"/>
      <c r="AAH14" s="440"/>
      <c r="AAI14" s="440"/>
      <c r="AAJ14" s="440"/>
      <c r="AAK14" s="440"/>
      <c r="AAL14" s="440"/>
      <c r="AAM14" s="441"/>
    </row>
    <row r="15" spans="1:1090">
      <c r="O15" s="11"/>
      <c r="P15" s="11"/>
      <c r="Q15" s="11"/>
      <c r="R15" s="11"/>
      <c r="S15" s="11"/>
      <c r="T15" s="11"/>
      <c r="U15" s="11"/>
      <c r="V15" s="11"/>
      <c r="TC15" s="294"/>
    </row>
    <row r="16" spans="1:1090">
      <c r="TC16" s="294" t="s">
        <v>259</v>
      </c>
      <c r="VK16" t="s">
        <v>1395</v>
      </c>
    </row>
    <row r="17" spans="1:583">
      <c r="TC17" s="294"/>
      <c r="VK17" t="s">
        <v>1396</v>
      </c>
    </row>
    <row r="18" spans="1:583">
      <c r="TC18" s="282" t="s">
        <v>164</v>
      </c>
      <c r="VK18" t="s">
        <v>1397</v>
      </c>
    </row>
    <row r="19" spans="1:583">
      <c r="A19">
        <f>+ROUND(A21,0)</f>
        <v>45</v>
      </c>
      <c r="TC19" s="282"/>
    </row>
    <row r="20" spans="1:583" ht="14.25" customHeight="1">
      <c r="TC20" s="295" t="s">
        <v>165</v>
      </c>
    </row>
    <row r="21" spans="1:583">
      <c r="A21">
        <v>45.384512000000001</v>
      </c>
      <c r="TC21" s="289"/>
    </row>
    <row r="22" spans="1:583">
      <c r="A22">
        <v>12</v>
      </c>
      <c r="TC22" s="282" t="s">
        <v>166</v>
      </c>
    </row>
    <row r="23" spans="1:583">
      <c r="TC23" s="282"/>
    </row>
    <row r="24" spans="1:583">
      <c r="TC24" s="295" t="s">
        <v>167</v>
      </c>
    </row>
    <row r="25" spans="1:583">
      <c r="A25">
        <f>+A22*A21</f>
        <v>544.61414400000001</v>
      </c>
      <c r="TC25" s="289"/>
    </row>
    <row r="26" spans="1:583">
      <c r="A26">
        <f>+A25/A22</f>
        <v>45.384512000000001</v>
      </c>
      <c r="TC26" s="282" t="s">
        <v>1366</v>
      </c>
    </row>
    <row r="27" spans="1:583">
      <c r="TC27" s="283"/>
    </row>
  </sheetData>
  <sheetProtection algorithmName="SHA-512" hashValue="ZkMUunmSevk5WZ89+OtZHzSAEva77LQH2Y/z9+QHfo7u+cC9aWmDibVPyo0+/dpJJPQcoD2BFJ3vq/c15XPSHw==" saltValue="EXEpMrfaqjtAVNg4n9PzWA=="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wSu8nx+Y9zcuFWX10X6zYLsp9i6aL7wMTFwE96KgRWYm5HgW3do/xTVJunH34FvlUvT3o3h/RLw7MXXmX4XeRA==" saltValue="+advtSkJh793U1wHh0BUDQ=="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F2JsbwlKYD21NB2VYgAhYeaGVtu7P3JmJ3g2/tCIWz7C2CvLx+8t2ltQjArQ7m7U+tixF1zPvyNpAd7vFEuZVA==" saltValue="KL5t34QR715EvXLAMxqOO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22</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VZktnI0+MAbWLQoXXKwOpvzLvixLq44N3EBZtnHB1scEkGzaPBZ8cMAreNXPefrpuGA60ivexqFpoM3W8iTeuQ==" saltValue="/WpISM9TOAFvJeNeEQvn9w=="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1aw29cDI9fTERDEdBcuc5V0egSqtA3c7NLElfuavSvPp5x1oSzD1Yd/6uQZg+E2DpF9WxrQFVb0k66HNiqsR9w==" saltValue="aKRdyluqEQHthCQYDXdo5A=="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J0jkYeHPco8ZKD3l8tNyKkY9PPeKITami4rtYFTkMo4kQ9WScCx/gjXvxFwcK8GRZxXZJhEF+kFF+PHniS9A8w==" saltValue="9U57zkOXampaBDi32Jvvqg=="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FeZ5jlSBTWOua25P5IbXRGkSn4SIZGIizF+Tinm/9av0VYiKn5rXv5PV1DGureiafDil5E6keVN3kRLUJfqRzw==" saltValue="BR8dE9KX+bD98/NOrsNrM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V/iTAQHBvd9m8v7j8MEOpNRLmXEIx56MTNh90QQLzl2aUXsrq14NIGQgJfunv1hW4yc+q7nGaVRnBqJi1Y9rxQ==" saltValue="vMnL5P+x2hv8AnzZd6EVqw=="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fF9+ji8SSXN+69j4mqZ5XxhYOG02CcZQnlP16ysgUwDkmy+hLsCU8yMQH1ATFwlyVIB5vQg17gN3GKtks5i5pA==" saltValue="UmpQBpxoWpriO+pRXtNTWA=="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517" t="s">
        <v>3127</v>
      </c>
      <c r="B2" s="518"/>
      <c r="C2" s="518"/>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QfMLsdg9aH6WCprBRszd9lWiK3N/U3XB/EswzUNufwB5oF4C/M9iLQLzusdVKrynV0nvx6QxBEF7/nDdMVmVgQ==" saltValue="KRuy5ak9sjbuzS+23zBYZA=="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50" t="s">
        <v>1387</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t="s">
        <v>3949</v>
      </c>
      <c r="B4" s="32">
        <v>1</v>
      </c>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8" ht="13.9" hidden="1" customHeight="1">
      <c r="A5" s="285" t="s">
        <v>170</v>
      </c>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row>
    <row r="7" spans="1:38" ht="14.25" hidden="1" customHeight="1">
      <c r="A7" s="287"/>
    </row>
    <row r="8" spans="1:38" ht="14.25" hidden="1" customHeight="1">
      <c r="A8" s="288" t="s">
        <v>162</v>
      </c>
    </row>
    <row r="9" spans="1:38" ht="14.25" hidden="1" customHeight="1">
      <c r="A9" s="289"/>
    </row>
    <row r="10" spans="1:38" ht="27.95" customHeight="1">
      <c r="A10" s="293" t="s">
        <v>163</v>
      </c>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8" ht="4.5" customHeight="1">
      <c r="A11" s="293"/>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94" t="s">
        <v>259</v>
      </c>
      <c r="F12" s="290" t="s">
        <v>106</v>
      </c>
      <c r="G12" s="291"/>
      <c r="H12" s="291"/>
      <c r="I12" s="291"/>
      <c r="J12" s="292"/>
      <c r="K12" s="251" t="s">
        <v>8688</v>
      </c>
      <c r="L12" s="252"/>
      <c r="M12" s="252"/>
      <c r="N12" s="252"/>
      <c r="O12" s="252"/>
      <c r="P12" s="252"/>
      <c r="Q12" s="252"/>
      <c r="R12" s="252"/>
      <c r="S12" s="252"/>
      <c r="T12" s="296" t="s">
        <v>107</v>
      </c>
      <c r="U12" s="297"/>
      <c r="V12" s="297"/>
      <c r="W12" s="297"/>
      <c r="X12" s="297"/>
      <c r="Y12" s="260">
        <v>800130690</v>
      </c>
      <c r="Z12" s="260"/>
      <c r="AA12" s="260"/>
      <c r="AB12" s="260"/>
      <c r="AC12" s="260"/>
      <c r="AD12" s="260"/>
      <c r="AE12" s="260"/>
      <c r="AF12" s="260"/>
      <c r="AG12" s="260"/>
    </row>
    <row r="13" spans="1:38" ht="3.75" customHeight="1">
      <c r="A13" s="294"/>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82" t="s">
        <v>164</v>
      </c>
      <c r="F14" s="290" t="s">
        <v>108</v>
      </c>
      <c r="G14" s="291"/>
      <c r="H14" s="291"/>
      <c r="I14" s="291"/>
      <c r="J14" s="292"/>
      <c r="K14" s="251" t="s">
        <v>8689</v>
      </c>
      <c r="L14" s="252"/>
      <c r="M14" s="252"/>
      <c r="N14" s="252"/>
      <c r="O14" s="252"/>
      <c r="P14" s="252"/>
      <c r="Q14" s="252"/>
      <c r="R14" s="252"/>
      <c r="S14" s="252"/>
      <c r="T14" s="290" t="s">
        <v>156</v>
      </c>
      <c r="U14" s="291"/>
      <c r="V14" s="291"/>
      <c r="W14" s="291"/>
      <c r="X14" s="291"/>
      <c r="Y14" s="261" t="s">
        <v>2866</v>
      </c>
      <c r="Z14" s="261"/>
      <c r="AA14" s="261"/>
      <c r="AB14" s="261"/>
      <c r="AC14" s="261"/>
      <c r="AD14" s="261"/>
      <c r="AE14" s="261"/>
      <c r="AF14" s="261"/>
      <c r="AG14" s="261"/>
    </row>
    <row r="15" spans="1:38" ht="2.25" customHeight="1">
      <c r="A15" s="282"/>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95" t="s">
        <v>165</v>
      </c>
      <c r="F16" s="296" t="s">
        <v>110</v>
      </c>
      <c r="G16" s="297"/>
      <c r="H16" s="297"/>
      <c r="I16" s="297"/>
      <c r="J16" s="297"/>
      <c r="K16" s="251" t="s">
        <v>8690</v>
      </c>
      <c r="L16" s="252"/>
      <c r="M16" s="252"/>
      <c r="N16" s="252"/>
      <c r="O16" s="252"/>
      <c r="P16" s="252"/>
      <c r="Q16" s="252"/>
      <c r="R16" s="252"/>
      <c r="S16" s="252"/>
      <c r="T16" s="303" t="s">
        <v>109</v>
      </c>
      <c r="U16" s="304"/>
      <c r="V16" s="304"/>
      <c r="W16" s="304"/>
      <c r="X16" s="304"/>
      <c r="Y16" s="260">
        <v>3234801420</v>
      </c>
      <c r="Z16" s="260"/>
      <c r="AA16" s="260"/>
      <c r="AB16" s="260"/>
      <c r="AC16" s="260"/>
      <c r="AD16" s="260"/>
      <c r="AE16" s="260"/>
      <c r="AF16" s="260"/>
      <c r="AG16" s="260"/>
    </row>
    <row r="17" spans="1:49" ht="3" customHeight="1">
      <c r="A17" s="289"/>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82" t="s">
        <v>166</v>
      </c>
      <c r="B18" s="71"/>
      <c r="F18" s="301" t="s">
        <v>111</v>
      </c>
      <c r="G18" s="302"/>
      <c r="H18" s="302"/>
      <c r="I18" s="302"/>
      <c r="J18" s="302"/>
      <c r="K18" s="298" t="s">
        <v>8691</v>
      </c>
      <c r="L18" s="299"/>
      <c r="M18" s="299"/>
      <c r="N18" s="299"/>
      <c r="O18" s="299"/>
      <c r="P18" s="299"/>
      <c r="Q18" s="299"/>
      <c r="R18" s="299"/>
      <c r="S18" s="300"/>
      <c r="T18"/>
      <c r="U18"/>
      <c r="V18"/>
      <c r="W18"/>
      <c r="X18"/>
      <c r="Y18"/>
      <c r="Z18"/>
      <c r="AA18"/>
      <c r="AB18"/>
      <c r="AC18"/>
      <c r="AD18"/>
      <c r="AE18"/>
      <c r="AF18"/>
      <c r="AG18"/>
      <c r="AH18"/>
      <c r="AI18"/>
      <c r="AJ18"/>
      <c r="AK18"/>
      <c r="AQ18"/>
      <c r="AR18"/>
      <c r="AS18"/>
      <c r="AT18"/>
      <c r="AU18"/>
      <c r="AV18"/>
      <c r="AW18"/>
    </row>
    <row r="19" spans="1:49" ht="9.75" customHeight="1">
      <c r="A19" s="282"/>
    </row>
    <row r="20" spans="1:49" ht="27.95" customHeight="1">
      <c r="A20" s="295" t="s">
        <v>167</v>
      </c>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F21"/>
      <c r="G21"/>
      <c r="H21"/>
      <c r="I21"/>
      <c r="J21"/>
    </row>
    <row r="22" spans="1:49" ht="13.9" customHeight="1">
      <c r="A22" s="282" t="s">
        <v>1366</v>
      </c>
      <c r="B22" s="69"/>
      <c r="C22" s="16"/>
      <c r="D22" s="16"/>
      <c r="F22" s="232" t="s">
        <v>3126</v>
      </c>
      <c r="G22" s="233"/>
      <c r="H22" s="234"/>
      <c r="I22" s="238" t="s">
        <v>8692</v>
      </c>
      <c r="J22" s="239"/>
      <c r="K22" s="239"/>
      <c r="L22" s="240"/>
      <c r="M22" s="17"/>
      <c r="N22" s="232" t="s">
        <v>3918</v>
      </c>
      <c r="O22" s="233"/>
      <c r="P22" s="234"/>
      <c r="Q22" s="238" t="s">
        <v>240</v>
      </c>
      <c r="R22" s="239"/>
      <c r="S22" s="240"/>
      <c r="T22" s="17"/>
      <c r="U22" s="232" t="s">
        <v>276</v>
      </c>
      <c r="V22" s="233"/>
      <c r="W22" s="234"/>
      <c r="X22" s="238" t="s">
        <v>3110</v>
      </c>
      <c r="Y22" s="239"/>
      <c r="Z22" s="240"/>
      <c r="AA22" s="17"/>
      <c r="AB22" s="232" t="s">
        <v>112</v>
      </c>
      <c r="AC22" s="233"/>
      <c r="AD22" s="234"/>
      <c r="AE22" s="221">
        <v>12265000</v>
      </c>
      <c r="AF22" s="222"/>
      <c r="AG22" s="223"/>
    </row>
    <row r="23" spans="1:49" ht="14.25" customHeight="1">
      <c r="A23" s="283"/>
      <c r="F23" s="235"/>
      <c r="G23" s="236"/>
      <c r="H23" s="237"/>
      <c r="I23" s="241"/>
      <c r="J23" s="242"/>
      <c r="K23" s="242"/>
      <c r="L23" s="243"/>
      <c r="M23" s="17"/>
      <c r="N23" s="235"/>
      <c r="O23" s="236"/>
      <c r="P23" s="237"/>
      <c r="Q23" s="241"/>
      <c r="R23" s="242"/>
      <c r="S23" s="243"/>
      <c r="T23" s="17"/>
      <c r="U23" s="235"/>
      <c r="V23" s="236"/>
      <c r="W23" s="237"/>
      <c r="X23" s="241"/>
      <c r="Y23" s="242"/>
      <c r="Z23" s="243"/>
      <c r="AA23" s="17"/>
      <c r="AB23" s="235"/>
      <c r="AC23" s="236"/>
      <c r="AD23" s="237"/>
      <c r="AE23" s="224"/>
      <c r="AF23" s="225"/>
      <c r="AG23" s="226"/>
    </row>
    <row r="24" spans="1:49" ht="20.25" customHeight="1">
      <c r="A24" s="228"/>
    </row>
    <row r="25" spans="1:49" ht="14.25" hidden="1" customHeight="1">
      <c r="A25" s="228"/>
      <c r="F25" s="229"/>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1"/>
    </row>
    <row r="26" spans="1:49" ht="14.25" hidden="1" customHeight="1">
      <c r="A26" s="284"/>
      <c r="F26"/>
      <c r="G26"/>
      <c r="H26"/>
      <c r="I26"/>
      <c r="J26"/>
    </row>
    <row r="27" spans="1:49" ht="14.25" hidden="1" customHeight="1">
      <c r="A27" s="284"/>
    </row>
    <row r="28" spans="1:49" ht="14.25" customHeight="1">
      <c r="A28" s="103"/>
      <c r="F28" s="232" t="s">
        <v>4086</v>
      </c>
      <c r="G28" s="233"/>
      <c r="H28" s="234"/>
      <c r="I28" s="227" t="s">
        <v>4128</v>
      </c>
      <c r="J28" s="227"/>
      <c r="K28" s="227"/>
      <c r="L28" s="244" t="str">
        <f>+IFERROR(VLOOKUP(I28,Cat_precios!B:M,12,FALSE),"")</f>
        <v>HAMACA CON TOLDILLO_según NTMD vigente</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customHeight="1">
      <c r="A29" s="103"/>
      <c r="F29" s="235"/>
      <c r="G29" s="236"/>
      <c r="H29" s="237"/>
      <c r="I29" s="227"/>
      <c r="J29" s="227"/>
      <c r="K29" s="22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67"/>
      <c r="B33" s="32" t="s">
        <v>130</v>
      </c>
      <c r="F33" s="20" t="s">
        <v>263</v>
      </c>
      <c r="G33" s="271" t="str">
        <f>+IF(Desplegable_prod!$A$1&lt;&gt;"",Desplegable_prod!$A$1,"")</f>
        <v>Estampado de la Fuerza</v>
      </c>
      <c r="H33" s="271"/>
      <c r="I33" s="271"/>
      <c r="J33" s="271" t="str">
        <f>+IF(Desplegable_prod!$B$1&lt;&gt;"",Desplegable_prod!$B$1,"")</f>
        <v xml:space="preserve">Color de la tela de las secciones rectangulares de la cabecera y el pie de la hamaca </v>
      </c>
      <c r="K33" s="271"/>
      <c r="L33" s="271"/>
      <c r="M33" s="271" t="str">
        <f>+IF(Desplegable_prod!$C$1&lt;&gt;"",Desplegable_prod!$C$1,"")</f>
        <v xml:space="preserve">Tipo de tela </v>
      </c>
      <c r="N33" s="271"/>
      <c r="O33" s="271"/>
      <c r="P33" s="305" t="s">
        <v>159</v>
      </c>
      <c r="Q33" s="306"/>
      <c r="R33" s="306"/>
    </row>
    <row r="34" spans="1:36" ht="45" customHeight="1">
      <c r="A34" s="167"/>
      <c r="F34" s="75">
        <f>IFERROR(IF(F33="Ítem",1,ROW()-ROW(SolCotizacion!$F$28)-5),"error")</f>
        <v>1</v>
      </c>
      <c r="G34" s="264" t="s">
        <v>8699</v>
      </c>
      <c r="H34" s="264"/>
      <c r="I34" s="264"/>
      <c r="J34" s="264" t="s">
        <v>8706</v>
      </c>
      <c r="K34" s="264"/>
      <c r="L34" s="264"/>
      <c r="M34" s="264" t="s">
        <v>8697</v>
      </c>
      <c r="N34" s="264"/>
      <c r="O34" s="264"/>
      <c r="P34" s="307">
        <v>50</v>
      </c>
      <c r="Q34" s="307"/>
      <c r="R34" s="307"/>
    </row>
    <row r="35" spans="1:36" ht="6.75" customHeight="1"/>
    <row r="36" spans="1:36" ht="14.25" customHeight="1">
      <c r="F36" s="212"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12"/>
      <c r="H36" s="212"/>
      <c r="I36" s="212"/>
      <c r="J36" s="212"/>
      <c r="K36" s="212"/>
      <c r="L36" s="212"/>
      <c r="M36" s="212"/>
      <c r="N36" s="212"/>
      <c r="O36" s="212"/>
      <c r="P36" s="212"/>
      <c r="Q36" s="212"/>
      <c r="R36" s="212"/>
      <c r="S36" s="212"/>
      <c r="T36" s="212"/>
      <c r="U36" s="212"/>
      <c r="V36" s="212"/>
      <c r="W36" s="212"/>
      <c r="X36" s="212"/>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56" t="s">
        <v>3906</v>
      </c>
      <c r="H38" s="256"/>
      <c r="I38" s="256"/>
      <c r="J38" s="256"/>
      <c r="K38" s="256"/>
      <c r="L38" s="256"/>
    </row>
    <row r="39" spans="1:36">
      <c r="G39" s="253">
        <v>1</v>
      </c>
      <c r="H39" s="254"/>
      <c r="I39" s="254"/>
      <c r="J39" s="254"/>
      <c r="K39" s="254"/>
      <c r="L39" s="255"/>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13" t="s">
        <v>4070</v>
      </c>
      <c r="G42" s="213"/>
      <c r="H42" s="213"/>
      <c r="I42" s="213"/>
      <c r="J42" s="213"/>
      <c r="K42" s="213"/>
      <c r="L42" s="213"/>
      <c r="M42" s="213"/>
      <c r="N42" s="213"/>
      <c r="O42" s="220" t="s">
        <v>1311</v>
      </c>
      <c r="P42" s="220"/>
      <c r="Q42" s="220"/>
      <c r="R42" s="220"/>
      <c r="S42" s="220"/>
      <c r="T42" s="220"/>
      <c r="U42" s="220"/>
      <c r="V42" s="220"/>
      <c r="W42" s="220"/>
      <c r="X42" s="220"/>
      <c r="Y42" s="220"/>
      <c r="Z42" s="220"/>
      <c r="AA42" s="220"/>
      <c r="AB42" s="220"/>
      <c r="AC42" s="220"/>
      <c r="AD42" s="220"/>
      <c r="AE42" s="220"/>
      <c r="AF42" s="220"/>
      <c r="AG42" s="220"/>
    </row>
    <row r="43" spans="1:36" ht="27.95" customHeight="1">
      <c r="F43" s="213" t="s">
        <v>3907</v>
      </c>
      <c r="G43" s="213"/>
      <c r="H43" s="213"/>
      <c r="I43" s="213"/>
      <c r="J43" s="213"/>
      <c r="K43" s="213"/>
      <c r="L43" s="213"/>
      <c r="M43" s="213"/>
      <c r="N43" s="213"/>
      <c r="O43" s="220" t="s">
        <v>8708</v>
      </c>
      <c r="P43" s="220"/>
      <c r="Q43" s="220"/>
      <c r="R43" s="220"/>
      <c r="S43" s="220"/>
      <c r="T43" s="220"/>
      <c r="U43" s="220"/>
      <c r="V43" s="220"/>
      <c r="W43" s="220"/>
      <c r="X43" s="220"/>
      <c r="Y43" s="220"/>
      <c r="Z43" s="220"/>
      <c r="AA43" s="220"/>
      <c r="AB43" s="220"/>
      <c r="AC43" s="220"/>
      <c r="AD43" s="220"/>
      <c r="AE43" s="220"/>
      <c r="AF43" s="220"/>
      <c r="AG43" s="220"/>
    </row>
    <row r="44" spans="1:36" ht="21" customHeight="1">
      <c r="F44" s="213" t="s">
        <v>3284</v>
      </c>
      <c r="G44" s="213"/>
      <c r="H44" s="213"/>
      <c r="I44" s="213"/>
      <c r="J44" s="213"/>
      <c r="K44" s="213"/>
      <c r="L44" s="213"/>
      <c r="M44" s="213"/>
      <c r="N44" s="213"/>
      <c r="O44" s="216" t="s">
        <v>8708</v>
      </c>
      <c r="P44" s="216"/>
      <c r="Q44" s="216"/>
      <c r="R44" s="216"/>
      <c r="S44" s="216"/>
      <c r="T44" s="216"/>
      <c r="U44" s="216"/>
      <c r="V44" s="216"/>
      <c r="W44" s="216"/>
      <c r="X44" s="216"/>
      <c r="Y44" s="216"/>
      <c r="Z44" s="216"/>
      <c r="AA44" s="216"/>
      <c r="AB44" s="216"/>
      <c r="AC44" s="216"/>
      <c r="AD44" s="216"/>
      <c r="AE44" s="216"/>
      <c r="AF44" s="216"/>
      <c r="AG44" s="216"/>
    </row>
    <row r="45" spans="1:36" ht="21" customHeight="1">
      <c r="F45" s="214" t="s">
        <v>3908</v>
      </c>
      <c r="G45" s="214"/>
      <c r="H45" s="214"/>
      <c r="I45" s="214"/>
      <c r="J45" s="214"/>
      <c r="K45" s="214"/>
      <c r="L45" s="214"/>
      <c r="M45" s="214"/>
      <c r="N45" s="215"/>
      <c r="O45" s="217" t="s">
        <v>8708</v>
      </c>
      <c r="P45" s="218"/>
      <c r="Q45" s="218"/>
      <c r="R45" s="218"/>
      <c r="S45" s="218"/>
      <c r="T45" s="218"/>
      <c r="U45" s="218"/>
      <c r="V45" s="218"/>
      <c r="W45" s="218"/>
      <c r="X45" s="218"/>
      <c r="Y45" s="218"/>
      <c r="Z45" s="218"/>
      <c r="AA45" s="218"/>
      <c r="AB45" s="218"/>
      <c r="AC45" s="218"/>
      <c r="AD45" s="218"/>
      <c r="AE45" s="218"/>
      <c r="AF45" s="218"/>
      <c r="AG45" s="219"/>
    </row>
    <row r="46" spans="1:36" ht="14.25" hidden="1" customHeight="1">
      <c r="A46"/>
      <c r="B46"/>
      <c r="F46"/>
      <c r="G46"/>
      <c r="H46"/>
      <c r="I46"/>
      <c r="J46"/>
    </row>
    <row r="47" spans="1:36" ht="30.75" customHeight="1">
      <c r="F47" s="308" t="s">
        <v>4071</v>
      </c>
      <c r="G47" s="308"/>
      <c r="H47" s="308"/>
      <c r="I47" s="308"/>
      <c r="J47" s="308"/>
      <c r="K47" s="308"/>
      <c r="L47" s="308"/>
      <c r="M47" s="308"/>
      <c r="N47" s="308"/>
      <c r="O47" s="309"/>
      <c r="P47" s="308"/>
      <c r="Q47" s="308"/>
      <c r="R47" s="308"/>
      <c r="S47" s="308"/>
      <c r="T47" s="308"/>
      <c r="U47" s="308"/>
      <c r="V47" s="308"/>
      <c r="W47" s="308"/>
      <c r="X47" s="308"/>
      <c r="Y47" s="308"/>
      <c r="Z47" s="308"/>
      <c r="AA47" s="308"/>
      <c r="AB47" s="308"/>
      <c r="AC47" s="308"/>
      <c r="AD47" s="308"/>
      <c r="AE47" s="308"/>
      <c r="AF47" s="308"/>
      <c r="AG47" s="308"/>
    </row>
    <row r="48" spans="1:36">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58" t="s">
        <v>3119</v>
      </c>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row>
    <row r="51" spans="2:33">
      <c r="F51"/>
      <c r="G51"/>
      <c r="H51"/>
      <c r="I51"/>
      <c r="J51"/>
    </row>
    <row r="52" spans="2:33" ht="24" customHeight="1">
      <c r="B52" s="32" t="s">
        <v>3904</v>
      </c>
      <c r="F52" s="273" t="s">
        <v>3120</v>
      </c>
      <c r="G52" s="274"/>
      <c r="H52" s="275" t="s">
        <v>3121</v>
      </c>
      <c r="I52" s="276"/>
      <c r="J52" s="276"/>
      <c r="K52" s="277" t="s">
        <v>1</v>
      </c>
      <c r="L52" s="278"/>
      <c r="M52" s="278"/>
      <c r="N52" s="278"/>
      <c r="O52" s="310"/>
      <c r="P52" s="277" t="s">
        <v>3123</v>
      </c>
      <c r="Q52" s="278"/>
      <c r="R52" s="278"/>
      <c r="S52" s="278"/>
      <c r="T52" s="278"/>
      <c r="U52" s="310"/>
      <c r="V52" s="277" t="s">
        <v>3122</v>
      </c>
      <c r="W52" s="278"/>
      <c r="X52" s="278"/>
      <c r="Y52" s="278"/>
      <c r="Z52" s="278"/>
      <c r="AA52" s="278"/>
      <c r="AB52" s="278"/>
      <c r="AC52" s="278"/>
      <c r="AD52" s="278"/>
      <c r="AE52" s="310"/>
      <c r="AF52" s="277" t="s">
        <v>159</v>
      </c>
      <c r="AG52" s="278"/>
    </row>
    <row r="53" spans="2:33">
      <c r="F53" s="279">
        <f>+IF(F52="No. de entrega",1,F52+1)</f>
        <v>1</v>
      </c>
      <c r="G53" s="280"/>
      <c r="H53" s="281">
        <v>46219</v>
      </c>
      <c r="I53" s="281"/>
      <c r="J53" s="281"/>
      <c r="K53" s="311" t="s">
        <v>1778</v>
      </c>
      <c r="L53" s="311"/>
      <c r="M53" s="311"/>
      <c r="N53" s="311"/>
      <c r="O53" s="311"/>
      <c r="P53" s="311" t="s">
        <v>1260</v>
      </c>
      <c r="Q53" s="311"/>
      <c r="R53" s="311"/>
      <c r="S53" s="311"/>
      <c r="T53" s="311"/>
      <c r="U53" s="311"/>
      <c r="V53" s="311" t="s">
        <v>8709</v>
      </c>
      <c r="W53" s="311"/>
      <c r="X53" s="311"/>
      <c r="Y53" s="311"/>
      <c r="Z53" s="311"/>
      <c r="AA53" s="311"/>
      <c r="AB53" s="311"/>
      <c r="AC53" s="311"/>
      <c r="AD53" s="311"/>
      <c r="AE53" s="311"/>
      <c r="AF53" s="312">
        <v>50</v>
      </c>
      <c r="AG53" s="312"/>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56" t="s">
        <v>3905</v>
      </c>
      <c r="H57" s="256"/>
      <c r="I57" s="256"/>
      <c r="J57" s="256"/>
      <c r="K57" s="256"/>
      <c r="L57" s="256"/>
    </row>
    <row r="58" spans="2:33">
      <c r="G58" s="253">
        <v>1</v>
      </c>
      <c r="H58" s="254"/>
      <c r="I58" s="254"/>
      <c r="J58" s="254"/>
      <c r="K58" s="254"/>
      <c r="L58" s="255"/>
    </row>
    <row r="59" spans="2:33">
      <c r="G59"/>
      <c r="H59"/>
      <c r="I59"/>
      <c r="J59"/>
    </row>
    <row r="60" spans="2:33">
      <c r="G60"/>
      <c r="H60"/>
      <c r="I60"/>
      <c r="J60"/>
    </row>
    <row r="61" spans="2:33" ht="27.95" customHeight="1">
      <c r="F61" s="258" t="s">
        <v>125</v>
      </c>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row>
    <row r="62" spans="2:33">
      <c r="F62" s="21"/>
      <c r="G62" s="21"/>
      <c r="H62" s="21"/>
      <c r="I62" s="21"/>
      <c r="J62" s="21"/>
      <c r="K62" s="21"/>
      <c r="L62" s="21"/>
      <c r="M62" s="21"/>
      <c r="N62" s="22"/>
      <c r="O62" s="22"/>
      <c r="P62" s="22"/>
      <c r="Q62" s="22"/>
    </row>
    <row r="63" spans="2:33">
      <c r="B63" s="32" t="s">
        <v>124</v>
      </c>
      <c r="F63" s="59" t="s">
        <v>126</v>
      </c>
      <c r="G63" s="268" t="s">
        <v>1373</v>
      </c>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71" t="s">
        <v>127</v>
      </c>
      <c r="AF63" s="271"/>
      <c r="AG63" s="271"/>
    </row>
    <row r="64" spans="2:33">
      <c r="F64" s="24">
        <f>+IF(F63="No",1,F63+1)</f>
        <v>1</v>
      </c>
      <c r="G64" s="269" t="s">
        <v>8710</v>
      </c>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72">
        <v>5.0000000000000001E-3</v>
      </c>
      <c r="AF64" s="272"/>
      <c r="AG64" s="272"/>
    </row>
    <row r="65" spans="2:33">
      <c r="F65" s="24">
        <f>+IF(F64="No",1,F64+1)</f>
        <v>2</v>
      </c>
      <c r="G65" s="269" t="s">
        <v>8711</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72">
        <v>5.0000000000000001E-3</v>
      </c>
      <c r="AF65" s="272"/>
      <c r="AG65" s="272"/>
    </row>
    <row r="66" spans="2:33">
      <c r="G66" s="270" t="s">
        <v>128</v>
      </c>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66">
        <f ca="1">SUM(AE64:OFFSET(W66,-1,-1))</f>
        <v>0.01</v>
      </c>
      <c r="AF66" s="266"/>
      <c r="AG66" s="266"/>
    </row>
    <row r="67" spans="2:33">
      <c r="G67" s="267" t="s">
        <v>129</v>
      </c>
      <c r="H67" s="267"/>
      <c r="I67" s="267"/>
      <c r="J67" s="267"/>
      <c r="K67" s="267"/>
      <c r="L67" s="267"/>
      <c r="M67" s="21"/>
    </row>
    <row r="68" spans="2:33">
      <c r="G68" s="265">
        <v>1</v>
      </c>
      <c r="H68" s="265"/>
      <c r="I68" s="265"/>
      <c r="J68" s="265"/>
      <c r="K68" s="265"/>
      <c r="L68" s="265"/>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AReGImckPNnc7WV1FKp12en7/92W7v7gINJWzCsOSDSutDJsl8XIKcnxpq8ECUfW+DEDXhaZEEDE0doq/DdvDg==" saltValue="e7BVLqvmKY/bPkPvRLogH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R12KBW2wYO9nOMVgS5RzWdnKQ2uTdGAzA7OfBthaleQFPakW8fnJraZTSBPh/ZdjVHdKcoJQvqiuks+dNdYHEA==" saltValue="sHLmyGIjyFPnLo8iIhiong=="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pCZ5mFQbeQTnVl/5ME/5iROHyWlF/Xgty+mhrp/RNKZFkPH+a5bRJ4vWWw1wkjoHPkMvFwFlOqoMlFGRkOz3tA==" saltValue="Gbi0ZIlWR09anusWs6dZmw=="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awJiMZMWHGIRhg7msAem90bU0tKUcbTk/sUlG6uC+a1jKV2GIGcVljgwv6SSgBw3UquzsXwZ3Vk4KAgilDaTeQ==" saltValue="2XlmZWKT7HCI2nfstBA2z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71" t="s">
        <v>3494</v>
      </c>
      <c r="F1" s="171" t="s">
        <v>3129</v>
      </c>
      <c r="G1" t="s">
        <v>3902</v>
      </c>
      <c r="H1" t="s">
        <v>3903</v>
      </c>
      <c r="I1" t="s">
        <v>3496</v>
      </c>
      <c r="J1" s="171"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73">
        <f>IFERROR(IF(D1="Ítem",1,ROW()-ROW(SolCotizacion!#REF!)),ROW()-ROW(SolCotizacion!#REF!))</f>
        <v>1</v>
      </c>
      <c r="E2" s="172" t="str">
        <f>+SolCotizacion!$I$28</f>
        <v>min03-P43</v>
      </c>
      <c r="F2" s="173" t="str">
        <f>+SolCotizacion!$L$28</f>
        <v>HAMACA CON TOLDILLO_según NTMD vigente</v>
      </c>
      <c r="G2" t="s">
        <v>8732</v>
      </c>
      <c r="H2" t="s">
        <v>8733</v>
      </c>
      <c r="I2" t="s">
        <v>190</v>
      </c>
      <c r="J2" s="174">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dlLAML5ENBWecTKkXXXcy4sedO49q4LvNAuYe49wRUESdUps6EF6C77hul+I806ieHiVhyjkMmwRqLTueMWlWQ==" saltValue="K46OY2gdvSrqeGlmZmDSW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r7XZu5AUbFar2THnYxUo2PSJ6Q4ckXbaxdtjTXkVVm3QJwFxbg+pzIF82Aw7YXdzafoHjZDEhdyLRlGsycaGZQ==" saltValue="grj9JH8j6H9HsBjbkjBDkQ=="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style="17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QYITPfA4F8+HbiaxvU4+4aEEaQW8SuVy4UkPv0GH5jdmmaNm+NwymdjAHynLkT8dt4J/xeUjInOQMh9ije0CTA==" saltValue="yKMzKqyl+HM5A67+2Y93/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dWNCNAi7TfdujmC1FkFP4W2O5Sz4FwnmE9nuOU06HXdIPv355ZnRtRkyQFV65KtmEfov1t8u7+wHG4Dmum6UgQ==" saltValue="QbHXuR5MS2Tb9uAIhlOyL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KT+iq/rGAUpLzuWd45owjG17VsSofj+BPuAy1uvyXOI+yV9MXEazLKO/AOhp44ZJl1pARRem7EsBCrRGueUlDQ==" saltValue="AVyIQy1lRB5dmQbYYGJ5yQ=="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twwJ8R3KlSDdjQjHu8A2kkwj0sDbBkGjnWDCN06ZYj+uSS1e/QodiS/SLCSiAl6plHHxDkgKyQCMz2r285YBfQ==" saltValue="zd8iIjvlwOuaVUN4KqA3G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313" t="s">
        <v>1649</v>
      </c>
      <c r="C1" s="314"/>
      <c r="D1" s="314"/>
    </row>
    <row r="2" spans="1:4" ht="15" thickBot="1">
      <c r="B2" s="315"/>
      <c r="C2" s="315"/>
      <c r="D2" s="315"/>
    </row>
    <row r="3" spans="1:4" ht="36" customHeight="1">
      <c r="B3" s="316" t="s">
        <v>1580</v>
      </c>
      <c r="C3" s="317"/>
      <c r="D3" s="317"/>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JtCx2W4gbOs/BQ6U/i558LK8693D0jKccES+CcE+ESM0b6HCXM7Sgj28CTyb4XvOAUjM9c1V+1zfmDGyyuv1vQ==" saltValue="WYz5kMSAK1pwiWkO8U0C5Q=="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zSqXKoosBfINHFVPR+htdffLR5ctu0w91W8q978jy89v0xA9gM9TwNh349nwjTmJN4WnxtAJN0zJK9uuEUGEZQ==" saltValue="/iuk/tGCXxyo/YR6dSlXq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F/oQlm7X57GaZ1UXLgo5bBP58ll23igeSXalJ11DXcCrl4s/rbBB7742GvMpw6PX6Ms0GbMJO3YoqfdDXWFR8w==" saltValue="ynqzK8BsHnOUKqCUKeRWk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WcQoaD/AnMx5u5+/Ti8lKu6gd4IeBC75nBrex7qR1fBl9oZJ/Zk4e7hJSwcfoQSfGx/UESIxkecYWDurXNOOhA==" saltValue="rUXnj/p4QQkfNDo2yPBwC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HgJA4avNIxUgxzGsuj0JvytjZ7nv7OSXlGuS3Sv6RKNkuRJcDlaQ/E8HGgAxOtudjRP17+CwtUJat/ERbYHH2w==" saltValue="flnRRQVmKzY3X4Kh4xbD+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184" hidden="1" customWidth="1"/>
    <col min="2" max="2" width="1.25" style="177" customWidth="1"/>
    <col min="3" max="5" width="1.25" style="177" hidden="1" customWidth="1"/>
    <col min="6" max="23" width="6.625" style="177" customWidth="1"/>
    <col min="24" max="24" width="6.75" style="177" customWidth="1"/>
    <col min="25" max="33" width="6.625" style="177" customWidth="1"/>
    <col min="34" max="34" width="1" style="177" customWidth="1"/>
    <col min="35" max="37" width="5" style="177" customWidth="1"/>
    <col min="38" max="38" width="15.125" style="177" customWidth="1"/>
    <col min="39" max="39" width="5" style="177" customWidth="1"/>
    <col min="40" max="40" width="4.625" style="177" customWidth="1"/>
    <col min="41" max="62" width="5" style="177" customWidth="1"/>
    <col min="63" max="16384" width="11" style="177"/>
  </cols>
  <sheetData>
    <row r="1" spans="1:33" ht="25.9" customHeight="1">
      <c r="A1" s="176"/>
      <c r="F1" s="250" t="s">
        <v>1388</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176"/>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178"/>
      <c r="F3" s="262" t="str">
        <f>"Versión:" &amp; Var!$F$10</f>
        <v>Versión:7        05/02/2026</v>
      </c>
      <c r="G3" s="262"/>
      <c r="H3" s="262"/>
      <c r="I3" s="262"/>
      <c r="J3" s="262"/>
      <c r="K3" s="262"/>
      <c r="L3" s="376" t="str">
        <f>+Var!$F$21</f>
        <v>Material de Intendencia III</v>
      </c>
      <c r="M3" s="376"/>
      <c r="N3" s="376"/>
      <c r="O3" s="376"/>
      <c r="P3" s="376"/>
      <c r="Q3" s="376"/>
      <c r="R3" s="376"/>
      <c r="S3" s="376"/>
      <c r="T3" s="376"/>
      <c r="U3" s="376"/>
      <c r="V3" s="376"/>
      <c r="W3" s="376"/>
      <c r="X3" s="376"/>
      <c r="Y3" s="376"/>
      <c r="Z3" s="376"/>
      <c r="AA3" s="376"/>
      <c r="AB3" s="60"/>
      <c r="AC3" s="60"/>
      <c r="AD3" s="60"/>
      <c r="AE3" s="60"/>
      <c r="AF3" s="60"/>
      <c r="AG3" s="60"/>
    </row>
    <row r="4" spans="1:33" ht="14.25" customHeight="1">
      <c r="A4" s="179"/>
      <c r="F4" s="263"/>
      <c r="G4" s="263"/>
      <c r="H4" s="263"/>
      <c r="I4" s="263"/>
      <c r="J4" s="263"/>
      <c r="K4" s="263"/>
      <c r="L4" s="376"/>
      <c r="M4" s="376"/>
      <c r="N4" s="376"/>
      <c r="O4" s="376"/>
      <c r="P4" s="376"/>
      <c r="Q4" s="376"/>
      <c r="R4" s="376"/>
      <c r="S4" s="376"/>
      <c r="T4" s="376"/>
      <c r="U4" s="376"/>
      <c r="V4" s="376"/>
      <c r="W4" s="376"/>
      <c r="X4" s="376"/>
      <c r="Y4" s="376"/>
      <c r="Z4" s="376"/>
      <c r="AA4" s="376"/>
      <c r="AB4" s="60"/>
      <c r="AC4" s="60"/>
      <c r="AD4" s="60"/>
      <c r="AE4" s="60"/>
      <c r="AF4" s="60"/>
      <c r="AG4" s="60"/>
    </row>
    <row r="5" spans="1:33" ht="14.25" hidden="1" customHeight="1">
      <c r="A5" s="285" t="s">
        <v>170</v>
      </c>
      <c r="F5" s="377" t="s">
        <v>3909</v>
      </c>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row>
    <row r="6" spans="1:33" ht="14.25" customHeight="1">
      <c r="A6" s="286"/>
    </row>
    <row r="7" spans="1:33" ht="14.25" hidden="1" customHeight="1">
      <c r="A7" s="287"/>
    </row>
    <row r="8" spans="1:33" ht="14.25" hidden="1" customHeight="1">
      <c r="A8" s="288" t="s">
        <v>162</v>
      </c>
    </row>
    <row r="9" spans="1:33" ht="14.25" hidden="1" customHeight="1">
      <c r="A9" s="289"/>
    </row>
    <row r="10" spans="1:33"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ht="9.75" customHeight="1">
      <c r="A19" s="319"/>
      <c r="B19" s="180"/>
      <c r="F19" s="186"/>
      <c r="G19" s="186"/>
      <c r="H19" s="186"/>
      <c r="I19" s="186"/>
      <c r="J19" s="186"/>
    </row>
    <row r="20" spans="1:49"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B21" s="180"/>
    </row>
    <row r="22" spans="1:49"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ht="15" customHeight="1">
      <c r="A24" s="321"/>
      <c r="B24" s="180"/>
      <c r="F24" s="186"/>
      <c r="G24" s="186"/>
      <c r="H24" s="186"/>
      <c r="I24" s="186"/>
      <c r="J24" s="186"/>
    </row>
    <row r="25" spans="1:49"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ht="14.25" customHeight="1" thickBot="1">
      <c r="A26" s="318"/>
      <c r="B26" s="180"/>
    </row>
    <row r="27" spans="1:49" ht="14.25" hidden="1" customHeight="1">
      <c r="A27" s="318"/>
      <c r="B27" s="180"/>
      <c r="F27" s="186"/>
      <c r="G27" s="186"/>
      <c r="H27" s="186"/>
      <c r="I27" s="186"/>
      <c r="J27" s="186"/>
    </row>
    <row r="28" spans="1:49" ht="14.25" hidden="1" customHeight="1">
      <c r="A28" s="182"/>
      <c r="B28" s="180"/>
      <c r="F28" s="232" t="s">
        <v>4086</v>
      </c>
      <c r="G28" s="233"/>
      <c r="H28" s="234"/>
      <c r="I28" s="347" t="s">
        <v>4128</v>
      </c>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hidden="1" customHeight="1">
      <c r="A30" s="182"/>
      <c r="B30" s="180"/>
    </row>
    <row r="31" spans="1:49" ht="14.25" hidden="1" customHeight="1">
      <c r="A31" s="182"/>
      <c r="B31" s="180"/>
    </row>
    <row r="32" spans="1:49" ht="14.25" hidden="1" customHeight="1">
      <c r="A32" s="182"/>
      <c r="B32" s="180"/>
      <c r="H32" s="186"/>
      <c r="I32" s="186"/>
      <c r="J32" s="186"/>
    </row>
    <row r="33" spans="1:36" ht="45"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67" t="s">
        <v>3489</v>
      </c>
      <c r="Y33" s="367"/>
      <c r="Z33" s="368"/>
      <c r="AA33" s="360" t="s">
        <v>3490</v>
      </c>
      <c r="AB33" s="360"/>
      <c r="AC33" s="360"/>
      <c r="AD33" s="360" t="s">
        <v>1352</v>
      </c>
      <c r="AE33" s="360"/>
      <c r="AF33" s="360"/>
      <c r="AG33" s="360"/>
    </row>
    <row r="34" spans="1:36" ht="45" customHeight="1">
      <c r="A34" s="182"/>
      <c r="B34" s="180"/>
      <c r="F34" s="173">
        <f>IFERROR(IF(F33="Ítem",1,ROW()-ROW(SolCotizacion!#REF!)),ROW()-ROW(SolCotizacion!#REF!))</f>
        <v>1</v>
      </c>
      <c r="G34" s="343" t="str">
        <f>+SolCotizacion!$I$28</f>
        <v>min03-P43</v>
      </c>
      <c r="H34" s="343"/>
      <c r="I34" s="343"/>
      <c r="J34" s="369" t="str">
        <f>+SolCotizacion!$L$28</f>
        <v>HAMACA CON TOLDILLO_según NTMD vigente</v>
      </c>
      <c r="K34" s="369"/>
      <c r="L34" s="369"/>
      <c r="M34" s="369"/>
      <c r="N34" s="369"/>
      <c r="O34" s="369"/>
      <c r="P34" s="369"/>
      <c r="Q34" s="369"/>
      <c r="R34" s="369"/>
      <c r="S34" s="369"/>
      <c r="T34" s="369"/>
      <c r="U34" s="370">
        <v>50</v>
      </c>
      <c r="V34" s="370"/>
      <c r="W34" s="370"/>
      <c r="X34" s="371">
        <f>+IFERROR(ROUND(VLOOKUP(F34&amp;"_"&amp;G34,Cat_resumido!$C:$DE,Var!$F$2-2,FALSE)/U34,2),"")</f>
        <v>349776.95</v>
      </c>
      <c r="Y34" s="371"/>
      <c r="Z34" s="371"/>
      <c r="AA34" s="371">
        <f ca="1">+IFERROR(ROUND(X34/(1-Var!$F$3),0),"")</f>
        <v>353310</v>
      </c>
      <c r="AB34" s="371"/>
      <c r="AC34" s="371"/>
      <c r="AD34" s="372">
        <f ca="1">IFERROR(ROUND(U34*AA34,2),"")</f>
        <v>17665500</v>
      </c>
      <c r="AE34" s="373"/>
      <c r="AF34" s="373"/>
      <c r="AG34" s="374"/>
    </row>
    <row r="35" spans="1:36" ht="30" customHeight="1">
      <c r="A35" s="176"/>
      <c r="B35" s="180"/>
      <c r="F35" s="186"/>
      <c r="G35" s="186"/>
      <c r="H35" s="186"/>
      <c r="I35" s="186"/>
      <c r="J35" s="186"/>
      <c r="AA35" s="271" t="s">
        <v>1323</v>
      </c>
      <c r="AB35" s="271"/>
      <c r="AC35" s="271"/>
      <c r="AD35" s="371">
        <f ca="1">+SUM(OFFSET(AA$1,0,3,MATCH("Subtotal",AA:AA,0)-1))</f>
        <v>17665500</v>
      </c>
      <c r="AE35" s="371"/>
      <c r="AF35" s="371"/>
      <c r="AG35" s="371"/>
    </row>
    <row r="36" spans="1:36" ht="30" customHeight="1">
      <c r="A36" s="176"/>
      <c r="B36" s="180"/>
      <c r="F36" s="212"/>
      <c r="G36" s="212"/>
      <c r="H36" s="212"/>
      <c r="I36" s="212"/>
      <c r="J36" s="212"/>
      <c r="K36" s="212"/>
      <c r="L36" s="212"/>
      <c r="M36" s="212"/>
      <c r="N36" s="212"/>
      <c r="O36" s="212"/>
      <c r="P36" s="212"/>
      <c r="Q36" s="212"/>
      <c r="R36" s="212"/>
      <c r="S36" s="212"/>
      <c r="T36" s="212"/>
      <c r="U36" s="212"/>
      <c r="V36" s="212"/>
      <c r="W36" s="212"/>
      <c r="X36" s="212"/>
      <c r="AA36" s="271" t="s">
        <v>1324</v>
      </c>
      <c r="AB36" s="271"/>
      <c r="AC36" s="271"/>
      <c r="AD36" s="375">
        <f ca="1">+ROUND(AD35*0.19,2)</f>
        <v>3356445</v>
      </c>
      <c r="AE36" s="375"/>
      <c r="AF36" s="375"/>
      <c r="AG36" s="375"/>
    </row>
    <row r="37" spans="1:36" ht="30" customHeight="1">
      <c r="A37" s="176"/>
      <c r="B37" s="180"/>
      <c r="F37" s="170"/>
      <c r="G37" s="170"/>
      <c r="H37" s="170"/>
      <c r="I37" s="170"/>
      <c r="J37" s="170"/>
      <c r="K37" s="170"/>
      <c r="L37" s="170"/>
      <c r="M37" s="170"/>
      <c r="N37" s="170"/>
      <c r="O37" s="170"/>
      <c r="P37" s="170"/>
      <c r="Q37" s="170"/>
      <c r="R37" s="170"/>
      <c r="S37" s="170"/>
      <c r="T37" s="170"/>
      <c r="U37" s="170"/>
      <c r="V37" s="170"/>
      <c r="W37" s="170"/>
      <c r="X37" s="170"/>
      <c r="AA37" s="271" t="s">
        <v>1325</v>
      </c>
      <c r="AB37" s="271"/>
      <c r="AC37" s="271"/>
      <c r="AD37" s="371">
        <f ca="1">+AD36+AD35</f>
        <v>21021945</v>
      </c>
      <c r="AE37" s="371"/>
      <c r="AF37" s="371"/>
      <c r="AG37" s="371"/>
    </row>
    <row r="38" spans="1:36" ht="30" customHeight="1">
      <c r="A38" s="176"/>
      <c r="B38" s="180"/>
      <c r="F38" s="186"/>
    </row>
    <row r="39" spans="1:36" s="180" customFormat="1">
      <c r="A39" s="183"/>
      <c r="B39" s="180" t="s">
        <v>3910</v>
      </c>
      <c r="F39" s="188" t="s">
        <v>120</v>
      </c>
      <c r="G39" s="190" t="s">
        <v>120</v>
      </c>
      <c r="H39" s="190" t="s">
        <v>120</v>
      </c>
      <c r="I39" s="190" t="s">
        <v>120</v>
      </c>
      <c r="J39" s="190" t="s">
        <v>120</v>
      </c>
      <c r="K39" s="190" t="s">
        <v>120</v>
      </c>
      <c r="L39" s="190" t="s">
        <v>120</v>
      </c>
      <c r="M39" s="190" t="s">
        <v>120</v>
      </c>
      <c r="N39" s="190" t="s">
        <v>120</v>
      </c>
      <c r="O39" s="190" t="s">
        <v>120</v>
      </c>
      <c r="P39" s="190" t="s">
        <v>120</v>
      </c>
      <c r="Q39" s="190" t="s">
        <v>120</v>
      </c>
      <c r="R39" s="190" t="s">
        <v>120</v>
      </c>
      <c r="S39" s="190" t="s">
        <v>120</v>
      </c>
      <c r="T39" s="190" t="s">
        <v>120</v>
      </c>
      <c r="U39" s="190" t="s">
        <v>120</v>
      </c>
      <c r="V39" s="190" t="s">
        <v>120</v>
      </c>
      <c r="W39" s="190" t="s">
        <v>120</v>
      </c>
      <c r="X39" s="190" t="s">
        <v>120</v>
      </c>
      <c r="Y39" s="190" t="s">
        <v>120</v>
      </c>
      <c r="Z39" s="190" t="s">
        <v>120</v>
      </c>
      <c r="AA39" s="190" t="s">
        <v>120</v>
      </c>
      <c r="AB39" s="190" t="s">
        <v>120</v>
      </c>
      <c r="AC39" s="190" t="s">
        <v>120</v>
      </c>
      <c r="AD39" s="190" t="s">
        <v>120</v>
      </c>
      <c r="AE39" s="190" t="s">
        <v>120</v>
      </c>
      <c r="AF39" s="190" t="s">
        <v>120</v>
      </c>
      <c r="AG39" s="190" t="s">
        <v>120</v>
      </c>
      <c r="AH39" s="190"/>
      <c r="AJ39" s="189"/>
    </row>
    <row r="40" spans="1:36" ht="21" customHeight="1">
      <c r="A40" s="176"/>
      <c r="B40" s="180"/>
      <c r="F40" s="213" t="s">
        <v>4070</v>
      </c>
      <c r="G40" s="348"/>
      <c r="H40" s="348"/>
      <c r="I40" s="348"/>
      <c r="J40" s="348"/>
      <c r="K40" s="348"/>
      <c r="L40" s="348"/>
      <c r="M40" s="348"/>
      <c r="N40" s="348"/>
      <c r="O40" s="349" t="s">
        <v>1311</v>
      </c>
      <c r="P40" s="349"/>
      <c r="Q40" s="349"/>
      <c r="R40" s="349"/>
      <c r="S40" s="349"/>
      <c r="T40" s="349"/>
      <c r="U40" s="349"/>
      <c r="V40" s="349"/>
      <c r="W40" s="349"/>
      <c r="X40" s="349"/>
      <c r="Y40" s="349"/>
      <c r="Z40" s="349"/>
      <c r="AA40" s="349"/>
      <c r="AB40" s="349"/>
      <c r="AC40" s="349"/>
      <c r="AD40" s="349"/>
      <c r="AE40" s="349"/>
      <c r="AF40" s="349"/>
      <c r="AG40" s="349"/>
      <c r="AH40" s="191"/>
    </row>
    <row r="41" spans="1:36" ht="27.95" customHeight="1">
      <c r="A41" s="176"/>
      <c r="B41" s="180"/>
      <c r="F41" s="213" t="s">
        <v>3907</v>
      </c>
      <c r="G41" s="348"/>
      <c r="H41" s="348"/>
      <c r="I41" s="348"/>
      <c r="J41" s="348"/>
      <c r="K41" s="348"/>
      <c r="L41" s="348"/>
      <c r="M41" s="348"/>
      <c r="N41" s="348"/>
      <c r="O41" s="349" t="s">
        <v>8708</v>
      </c>
      <c r="P41" s="349"/>
      <c r="Q41" s="349"/>
      <c r="R41" s="349"/>
      <c r="S41" s="349"/>
      <c r="T41" s="349"/>
      <c r="U41" s="349"/>
      <c r="V41" s="349"/>
      <c r="W41" s="349"/>
      <c r="X41" s="349"/>
      <c r="Y41" s="349"/>
      <c r="Z41" s="349"/>
      <c r="AA41" s="349"/>
      <c r="AB41" s="349"/>
      <c r="AC41" s="349"/>
      <c r="AD41" s="349"/>
      <c r="AE41" s="349"/>
      <c r="AF41" s="349"/>
      <c r="AG41" s="349"/>
      <c r="AH41" s="191"/>
    </row>
    <row r="42" spans="1:36" ht="21" customHeight="1">
      <c r="A42" s="176"/>
      <c r="B42" s="180"/>
      <c r="F42" s="213" t="s">
        <v>3284</v>
      </c>
      <c r="G42" s="348"/>
      <c r="H42" s="348"/>
      <c r="I42" s="348"/>
      <c r="J42" s="348"/>
      <c r="K42" s="348"/>
      <c r="L42" s="348"/>
      <c r="M42" s="348"/>
      <c r="N42" s="348"/>
      <c r="O42" s="361" t="s">
        <v>8708</v>
      </c>
      <c r="P42" s="361"/>
      <c r="Q42" s="361"/>
      <c r="R42" s="361"/>
      <c r="S42" s="361"/>
      <c r="T42" s="361"/>
      <c r="U42" s="361"/>
      <c r="V42" s="361"/>
      <c r="W42" s="361"/>
      <c r="X42" s="361"/>
      <c r="Y42" s="361"/>
      <c r="Z42" s="361"/>
      <c r="AA42" s="361"/>
      <c r="AB42" s="361"/>
      <c r="AC42" s="361"/>
      <c r="AD42" s="361"/>
      <c r="AE42" s="361"/>
      <c r="AF42" s="361"/>
      <c r="AG42" s="361"/>
      <c r="AH42" s="191"/>
    </row>
    <row r="43" spans="1:36" ht="21" customHeight="1">
      <c r="A43" s="176"/>
      <c r="B43" s="180"/>
      <c r="F43" s="214" t="s">
        <v>3908</v>
      </c>
      <c r="G43" s="362"/>
      <c r="H43" s="362"/>
      <c r="I43" s="362"/>
      <c r="J43" s="362"/>
      <c r="K43" s="362"/>
      <c r="L43" s="362"/>
      <c r="M43" s="362"/>
      <c r="N43" s="363"/>
      <c r="O43" s="364" t="s">
        <v>8708</v>
      </c>
      <c r="P43" s="365"/>
      <c r="Q43" s="365"/>
      <c r="R43" s="365"/>
      <c r="S43" s="365"/>
      <c r="T43" s="365"/>
      <c r="U43" s="365"/>
      <c r="V43" s="365"/>
      <c r="W43" s="365"/>
      <c r="X43" s="365"/>
      <c r="Y43" s="365"/>
      <c r="Z43" s="365"/>
      <c r="AA43" s="365"/>
      <c r="AB43" s="365"/>
      <c r="AC43" s="365"/>
      <c r="AD43" s="365"/>
      <c r="AE43" s="365"/>
      <c r="AF43" s="365"/>
      <c r="AG43" s="366"/>
      <c r="AH43" s="191"/>
    </row>
    <row r="44" spans="1:36" ht="14.25" hidden="1" customHeight="1">
      <c r="A44" s="177"/>
    </row>
    <row r="45" spans="1:36" ht="30.75" customHeight="1">
      <c r="A45" s="176"/>
      <c r="B45" s="180"/>
      <c r="F45" s="308" t="s">
        <v>4071</v>
      </c>
      <c r="G45" s="308"/>
      <c r="H45" s="308"/>
      <c r="I45" s="308"/>
      <c r="J45" s="308"/>
      <c r="K45" s="308"/>
      <c r="L45" s="308"/>
      <c r="M45" s="308"/>
      <c r="N45" s="308"/>
      <c r="O45" s="309"/>
      <c r="P45" s="308"/>
      <c r="Q45" s="308"/>
      <c r="R45" s="308"/>
      <c r="S45" s="308"/>
      <c r="T45" s="308"/>
      <c r="U45" s="308"/>
      <c r="V45" s="308"/>
      <c r="W45" s="308"/>
      <c r="X45" s="308"/>
      <c r="Y45" s="308"/>
      <c r="Z45" s="308"/>
      <c r="AA45" s="308"/>
      <c r="AB45" s="308"/>
      <c r="AC45" s="308"/>
      <c r="AD45" s="308"/>
      <c r="AE45" s="308"/>
      <c r="AF45" s="308"/>
      <c r="AG45" s="308"/>
    </row>
    <row r="46" spans="1:36">
      <c r="A46" s="176"/>
      <c r="B46" s="180"/>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row>
    <row r="47" spans="1:36">
      <c r="A47" s="176"/>
      <c r="B47" s="180"/>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row>
    <row r="48" spans="1:36" ht="27.95" customHeight="1">
      <c r="A48" s="176"/>
      <c r="B48" s="180"/>
      <c r="F48" s="258" t="s">
        <v>3119</v>
      </c>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row>
    <row r="49" spans="1:33">
      <c r="A49" s="176"/>
      <c r="B49" s="180"/>
    </row>
    <row r="50" spans="1:33" ht="24" customHeight="1">
      <c r="A50" s="176"/>
      <c r="B50" s="180" t="s">
        <v>3904</v>
      </c>
      <c r="F50" s="273" t="s">
        <v>3120</v>
      </c>
      <c r="G50" s="274"/>
      <c r="H50" s="275" t="s">
        <v>3121</v>
      </c>
      <c r="I50" s="276"/>
      <c r="J50" s="276"/>
      <c r="K50" s="277" t="s">
        <v>1</v>
      </c>
      <c r="L50" s="278"/>
      <c r="M50" s="278"/>
      <c r="N50" s="278"/>
      <c r="O50" s="310"/>
      <c r="P50" s="277" t="s">
        <v>3123</v>
      </c>
      <c r="Q50" s="278"/>
      <c r="R50" s="278"/>
      <c r="S50" s="278"/>
      <c r="T50" s="278"/>
      <c r="U50" s="310"/>
      <c r="V50" s="277" t="s">
        <v>3122</v>
      </c>
      <c r="W50" s="278"/>
      <c r="X50" s="278"/>
      <c r="Y50" s="278"/>
      <c r="Z50" s="278"/>
      <c r="AA50" s="278"/>
      <c r="AB50" s="278"/>
      <c r="AC50" s="278"/>
      <c r="AD50" s="278"/>
      <c r="AE50" s="310"/>
      <c r="AF50" s="277" t="s">
        <v>159</v>
      </c>
      <c r="AG50" s="278"/>
    </row>
    <row r="51" spans="1:33">
      <c r="A51" s="176"/>
      <c r="B51" s="180"/>
      <c r="F51" s="356">
        <v>1</v>
      </c>
      <c r="G51" s="357"/>
      <c r="H51" s="358">
        <v>46219</v>
      </c>
      <c r="I51" s="358"/>
      <c r="J51" s="358"/>
      <c r="K51" s="359" t="s">
        <v>1778</v>
      </c>
      <c r="L51" s="359"/>
      <c r="M51" s="359"/>
      <c r="N51" s="359"/>
      <c r="O51" s="359"/>
      <c r="P51" s="359" t="s">
        <v>1260</v>
      </c>
      <c r="Q51" s="359"/>
      <c r="R51" s="359"/>
      <c r="S51" s="359"/>
      <c r="T51" s="359"/>
      <c r="U51" s="359"/>
      <c r="V51" s="359" t="s">
        <v>8709</v>
      </c>
      <c r="W51" s="359"/>
      <c r="X51" s="359"/>
      <c r="Y51" s="359"/>
      <c r="Z51" s="359"/>
      <c r="AA51" s="359"/>
      <c r="AB51" s="359"/>
      <c r="AC51" s="359"/>
      <c r="AD51" s="359"/>
      <c r="AE51" s="359"/>
      <c r="AF51" s="354">
        <v>50</v>
      </c>
      <c r="AG51" s="354"/>
    </row>
    <row r="52" spans="1:33" ht="6.75" customHeight="1">
      <c r="A52" s="176"/>
      <c r="B52" s="180"/>
      <c r="F52" s="192"/>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row>
    <row r="53" spans="1:33">
      <c r="A53" s="176"/>
      <c r="B53" s="180"/>
      <c r="F53" s="150" t="s">
        <v>3124</v>
      </c>
      <c r="G53" s="137"/>
      <c r="H53" s="137"/>
      <c r="I53" s="138"/>
      <c r="J53" s="138"/>
      <c r="K53" s="138"/>
      <c r="L53" s="138"/>
      <c r="M53" s="138"/>
      <c r="N53" s="138"/>
      <c r="O53" s="138"/>
      <c r="P53" s="139"/>
    </row>
    <row r="54" spans="1:33">
      <c r="A54" s="176"/>
      <c r="B54" s="180"/>
      <c r="F54" s="186"/>
    </row>
    <row r="55" spans="1:33">
      <c r="A55" s="176"/>
      <c r="B55" s="180"/>
      <c r="F55" s="186"/>
    </row>
    <row r="56" spans="1:33" ht="27.95" customHeight="1">
      <c r="A56" s="176"/>
      <c r="B56" s="180"/>
      <c r="F56" s="258" t="s">
        <v>125</v>
      </c>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row>
    <row r="57" spans="1:33">
      <c r="A57" s="176"/>
      <c r="B57" s="180"/>
      <c r="F57" s="21"/>
      <c r="G57" s="21"/>
      <c r="H57" s="21"/>
      <c r="I57" s="21"/>
      <c r="J57" s="21"/>
      <c r="K57" s="21"/>
      <c r="L57" s="21"/>
      <c r="M57" s="21"/>
      <c r="N57" s="22"/>
      <c r="O57" s="22"/>
      <c r="P57" s="22"/>
      <c r="Q57" s="22"/>
    </row>
    <row r="58" spans="1:33">
      <c r="A58" s="176"/>
      <c r="B58" s="180" t="s">
        <v>124</v>
      </c>
      <c r="F58" s="169" t="s">
        <v>126</v>
      </c>
      <c r="G58" s="355" t="s">
        <v>1373</v>
      </c>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271" t="s">
        <v>127</v>
      </c>
      <c r="AF58" s="271"/>
      <c r="AG58" s="271"/>
    </row>
    <row r="59" spans="1:33">
      <c r="A59" s="176"/>
      <c r="B59" s="180"/>
      <c r="F59" s="193">
        <v>1</v>
      </c>
      <c r="G59" s="350" t="s">
        <v>8710</v>
      </c>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1">
        <v>5.0000000000000001E-3</v>
      </c>
      <c r="AF59" s="351"/>
      <c r="AG59" s="351"/>
    </row>
    <row r="60" spans="1:33">
      <c r="A60" s="176"/>
      <c r="B60" s="180"/>
      <c r="F60" s="193">
        <v>2</v>
      </c>
      <c r="G60" s="350" t="s">
        <v>8711</v>
      </c>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1">
        <v>5.0000000000000001E-3</v>
      </c>
      <c r="AF60" s="351"/>
      <c r="AG60" s="351"/>
    </row>
    <row r="61" spans="1:33">
      <c r="A61" s="176"/>
      <c r="B61" s="180"/>
      <c r="F61" s="192"/>
      <c r="G61" s="352" t="s">
        <v>128</v>
      </c>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3">
        <v>0.01</v>
      </c>
      <c r="AF61" s="353"/>
      <c r="AG61" s="353"/>
    </row>
    <row r="62" spans="1:33">
      <c r="A62" s="176"/>
      <c r="B62" s="180"/>
      <c r="F62" s="192"/>
      <c r="G62" s="192"/>
      <c r="H62" s="192"/>
      <c r="I62" s="192"/>
      <c r="J62" s="192"/>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row>
    <row r="63" spans="1:33">
      <c r="A63" s="176"/>
      <c r="B63" s="180"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W32" sqref="W32:Z32"/>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50" t="s">
        <v>1389</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6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63"/>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0.5" hidden="1" customHeight="1">
      <c r="A5" s="285" t="s">
        <v>170</v>
      </c>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ht="14.25" customHeight="1">
      <c r="A6" s="286"/>
    </row>
    <row r="7" spans="1:33" ht="14.25" hidden="1" customHeight="1">
      <c r="A7" s="287"/>
    </row>
    <row r="8" spans="1:33" ht="14.25" hidden="1" customHeight="1">
      <c r="A8" s="288" t="s">
        <v>162</v>
      </c>
    </row>
    <row r="9" spans="1:33" ht="14.25" hidden="1" customHeight="1">
      <c r="A9" s="289"/>
    </row>
    <row r="10" spans="1:33" s="177" customFormat="1"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s="177" customFormat="1"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s="177" customFormat="1"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s="177" customFormat="1"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s="177" customFormat="1"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s="177" customFormat="1"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s="177" customFormat="1"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s="177" customFormat="1"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s="177" customFormat="1" ht="9.75" customHeight="1">
      <c r="A19" s="319"/>
      <c r="B19" s="180"/>
      <c r="F19" s="186"/>
      <c r="G19" s="186"/>
      <c r="H19" s="186"/>
      <c r="I19" s="186"/>
      <c r="J19" s="186"/>
    </row>
    <row r="20" spans="1:49" s="177" customFormat="1"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s="177" customFormat="1" ht="4.5" customHeight="1">
      <c r="A21" s="289"/>
      <c r="B21" s="180"/>
    </row>
    <row r="22" spans="1:49" s="177" customFormat="1"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s="177" customFormat="1"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s="177" customFormat="1" ht="15" customHeight="1">
      <c r="A24" s="321"/>
      <c r="B24" s="180"/>
      <c r="F24" s="186"/>
      <c r="G24" s="186"/>
      <c r="H24" s="186"/>
      <c r="I24" s="186"/>
      <c r="J24" s="186"/>
    </row>
    <row r="25" spans="1:49" s="177" customFormat="1"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s="177" customFormat="1" ht="14.25" customHeight="1">
      <c r="A26" s="318"/>
      <c r="B26" s="180"/>
    </row>
    <row r="27" spans="1:49" s="177" customFormat="1" ht="14.25" hidden="1" customHeight="1">
      <c r="A27" s="318"/>
      <c r="B27" s="180"/>
      <c r="F27" s="186"/>
      <c r="G27" s="186"/>
      <c r="H27" s="186"/>
      <c r="I27" s="186"/>
      <c r="J27" s="186"/>
    </row>
    <row r="28" spans="1:49" s="177" customFormat="1" ht="14.25" hidden="1" customHeight="1">
      <c r="A28" s="182"/>
      <c r="B28" s="180"/>
      <c r="F28" s="232" t="s">
        <v>4086</v>
      </c>
      <c r="G28" s="233"/>
      <c r="H28" s="234"/>
      <c r="I28" s="347"/>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s="177" customFormat="1"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s="177" customFormat="1" ht="5.25" hidden="1" customHeight="1">
      <c r="A30" s="182"/>
      <c r="B30" s="180"/>
    </row>
    <row r="31" spans="1:49" s="177" customFormat="1" ht="14.25" hidden="1" customHeight="1">
      <c r="A31" s="182"/>
      <c r="B31" s="180"/>
    </row>
    <row r="32" spans="1:49" s="177" customFormat="1" ht="30" customHeight="1" thickBot="1">
      <c r="A32" s="182"/>
      <c r="B32" s="180"/>
      <c r="F32" s="385" t="s">
        <v>145</v>
      </c>
      <c r="G32" s="386"/>
      <c r="H32" s="386"/>
      <c r="I32" s="387" t="s">
        <v>3094</v>
      </c>
      <c r="J32" s="387"/>
      <c r="K32" s="387"/>
      <c r="L32" s="387"/>
      <c r="M32" s="387"/>
      <c r="N32" s="387"/>
      <c r="O32" s="387"/>
      <c r="P32" s="387"/>
      <c r="Q32" s="387"/>
      <c r="R32" s="387"/>
      <c r="S32" s="387"/>
      <c r="T32" s="385" t="s">
        <v>3916</v>
      </c>
      <c r="U32" s="386"/>
      <c r="V32" s="386"/>
      <c r="W32" s="382" t="str">
        <f>+IFERROR(VLOOKUP(Cotizacion!$I$32,Cat_Filtro2!$E:$L,8,FALSE),"")</f>
        <v>REGION 7</v>
      </c>
      <c r="X32" s="383"/>
      <c r="Y32" s="383"/>
      <c r="Z32" s="384"/>
    </row>
    <row r="33" spans="1:47" s="177" customFormat="1" ht="39.950000000000003"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81" t="s">
        <v>3924</v>
      </c>
      <c r="Y33" s="381"/>
      <c r="Z33" s="381"/>
      <c r="AA33" s="381" t="s">
        <v>1449</v>
      </c>
      <c r="AB33" s="381"/>
      <c r="AC33" s="381"/>
      <c r="AD33" s="381" t="s">
        <v>1351</v>
      </c>
      <c r="AE33" s="381"/>
      <c r="AF33" s="381" t="s">
        <v>1648</v>
      </c>
      <c r="AG33" s="381"/>
      <c r="AH33" s="381"/>
      <c r="AI33" s="381" t="s">
        <v>1352</v>
      </c>
      <c r="AJ33" s="381"/>
      <c r="AK33" s="381"/>
      <c r="AL33" s="381" t="s">
        <v>1324</v>
      </c>
      <c r="AM33" s="381"/>
      <c r="AN33" s="381" t="s">
        <v>1450</v>
      </c>
      <c r="AO33" s="381"/>
      <c r="AP33" s="381" t="s">
        <v>1354</v>
      </c>
      <c r="AQ33" s="381"/>
      <c r="AR33" s="381"/>
      <c r="AS33" s="381" t="s">
        <v>1353</v>
      </c>
      <c r="AT33" s="381"/>
      <c r="AU33" s="381"/>
    </row>
    <row r="34" spans="1:47" s="177" customFormat="1" ht="77.099999999999994" customHeight="1">
      <c r="A34" s="182"/>
      <c r="B34" s="180"/>
      <c r="F34" s="194">
        <f>IFERROR(IF(F33="Ítem",1,ROW()-ROW(SolCotizacion!#REF!)),ROW()-ROW(SolCotizacion!#REF!))</f>
        <v>1</v>
      </c>
      <c r="G34" s="378" t="str">
        <f>+SolCotizacion!$I$28</f>
        <v>min03-P43</v>
      </c>
      <c r="H34" s="378"/>
      <c r="I34" s="378"/>
      <c r="J34" s="379" t="str">
        <f>+SolCotizacion!$L$28</f>
        <v>HAMACA CON TOLDILLO_según NTMD vigente</v>
      </c>
      <c r="K34" s="379"/>
      <c r="L34" s="379"/>
      <c r="M34" s="379"/>
      <c r="N34" s="379"/>
      <c r="O34" s="379"/>
      <c r="P34" s="379"/>
      <c r="Q34" s="379"/>
      <c r="R34" s="379"/>
      <c r="S34" s="379"/>
      <c r="T34" s="379"/>
      <c r="U34" s="380">
        <v>50</v>
      </c>
      <c r="V34" s="380"/>
      <c r="W34" s="380"/>
      <c r="X34" s="372">
        <f>+IFERROR(ROUND(VLOOKUP(F34&amp;"_"&amp;G34,Cat_resumido!$C:$CZ,Var!$F$6-2,FALSE)/U34,2),"")</f>
        <v>471397.5</v>
      </c>
      <c r="Y34" s="373"/>
      <c r="Z34" s="374"/>
      <c r="AA34" s="371">
        <f ca="1">+IFERROR(ROUND(X34/(1-Var!$F$3),2),"")</f>
        <v>476159.09</v>
      </c>
      <c r="AB34" s="371"/>
      <c r="AC34" s="371"/>
      <c r="AD34" s="388">
        <v>0.47499999999999998</v>
      </c>
      <c r="AE34" s="388"/>
      <c r="AF34" s="371">
        <f ca="1">IFERROR(ROUND(AA34*(1-AD34),2),"")</f>
        <v>249983.52</v>
      </c>
      <c r="AG34" s="371"/>
      <c r="AH34" s="371"/>
      <c r="AI34" s="371">
        <f ca="1">IFERROR(ROUND(AF34*U34,2),"")</f>
        <v>12499176</v>
      </c>
      <c r="AJ34" s="371"/>
      <c r="AK34" s="371"/>
      <c r="AL34" s="389" t="s">
        <v>240</v>
      </c>
      <c r="AM34" s="389"/>
      <c r="AN34" s="388">
        <v>0.19</v>
      </c>
      <c r="AO34" s="388"/>
      <c r="AP34" s="371">
        <f ca="1">+IFERROR(IF(AL34="SI",ROUND(AI34*AN34,2),0),"")</f>
        <v>2374843.44</v>
      </c>
      <c r="AQ34" s="371"/>
      <c r="AR34" s="371"/>
      <c r="AS34" s="371">
        <f ca="1">+IFERROR(ROUND(AI34+AP34,2),"")</f>
        <v>14874019.439999999</v>
      </c>
      <c r="AT34" s="371"/>
      <c r="AU34" s="371"/>
    </row>
    <row r="35" spans="1:47" s="177" customFormat="1" ht="20.100000000000001" customHeight="1">
      <c r="A35" s="176"/>
      <c r="B35" s="180"/>
      <c r="F35" s="195"/>
      <c r="G35" s="195"/>
      <c r="H35" s="195"/>
      <c r="I35" s="195"/>
      <c r="J35" s="195"/>
      <c r="K35" s="195"/>
      <c r="L35" s="195"/>
      <c r="M35" s="195"/>
      <c r="N35" s="195"/>
      <c r="O35" s="195"/>
      <c r="P35" s="195"/>
      <c r="Q35" s="195"/>
      <c r="R35" s="195"/>
      <c r="S35" s="195"/>
      <c r="T35" s="195"/>
      <c r="U35" s="195"/>
      <c r="V35" s="195"/>
      <c r="W35" s="195"/>
      <c r="X35"/>
      <c r="Y35"/>
      <c r="Z35"/>
      <c r="AA35"/>
      <c r="AB35"/>
      <c r="AC35"/>
      <c r="AD35"/>
      <c r="AE35"/>
      <c r="AF35"/>
      <c r="AG35"/>
    </row>
    <row r="36" spans="1:47" s="177" customFormat="1" ht="20.100000000000001" customHeight="1">
      <c r="A36" s="176"/>
      <c r="B36" s="180"/>
      <c r="F36" s="186"/>
    </row>
    <row r="37" spans="1:47" s="180" customFormat="1" ht="20.100000000000001" customHeight="1">
      <c r="A37" s="183"/>
      <c r="B37" s="180" t="s">
        <v>3910</v>
      </c>
      <c r="F37" s="188" t="s">
        <v>120</v>
      </c>
      <c r="G37" s="190" t="s">
        <v>120</v>
      </c>
      <c r="H37" s="190" t="s">
        <v>120</v>
      </c>
      <c r="I37" s="190" t="s">
        <v>120</v>
      </c>
      <c r="J37" s="190" t="s">
        <v>120</v>
      </c>
      <c r="K37" s="190" t="s">
        <v>120</v>
      </c>
      <c r="L37" s="190" t="s">
        <v>120</v>
      </c>
      <c r="M37" s="190" t="s">
        <v>120</v>
      </c>
      <c r="N37" s="190" t="s">
        <v>120</v>
      </c>
      <c r="O37" s="190" t="s">
        <v>120</v>
      </c>
      <c r="P37" s="190" t="s">
        <v>120</v>
      </c>
      <c r="Q37" s="190" t="s">
        <v>120</v>
      </c>
      <c r="R37" s="190" t="s">
        <v>120</v>
      </c>
      <c r="S37" s="190" t="s">
        <v>120</v>
      </c>
      <c r="T37" s="190" t="s">
        <v>120</v>
      </c>
      <c r="U37" s="190" t="s">
        <v>120</v>
      </c>
      <c r="V37" s="190" t="s">
        <v>120</v>
      </c>
      <c r="W37" s="190" t="s">
        <v>120</v>
      </c>
      <c r="X37" s="190" t="s">
        <v>120</v>
      </c>
      <c r="Y37" s="190" t="s">
        <v>120</v>
      </c>
      <c r="Z37" s="190" t="s">
        <v>120</v>
      </c>
      <c r="AA37" s="190" t="s">
        <v>120</v>
      </c>
      <c r="AB37" s="190" t="s">
        <v>120</v>
      </c>
      <c r="AC37" s="190" t="s">
        <v>120</v>
      </c>
      <c r="AD37" s="190" t="s">
        <v>120</v>
      </c>
      <c r="AE37" s="190" t="s">
        <v>120</v>
      </c>
      <c r="AF37" s="190" t="s">
        <v>120</v>
      </c>
      <c r="AG37" s="190" t="s">
        <v>120</v>
      </c>
      <c r="AH37" s="190"/>
      <c r="AJ37" s="189"/>
    </row>
    <row r="38" spans="1:47" s="177" customFormat="1" ht="20.100000000000001" customHeight="1">
      <c r="A38" s="176"/>
      <c r="B38" s="180"/>
      <c r="F38" s="213" t="s">
        <v>4070</v>
      </c>
      <c r="G38" s="348"/>
      <c r="H38" s="348"/>
      <c r="I38" s="348"/>
      <c r="J38" s="348"/>
      <c r="K38" s="348"/>
      <c r="L38" s="348"/>
      <c r="M38" s="348"/>
      <c r="N38" s="348"/>
      <c r="O38" s="349" t="s">
        <v>1311</v>
      </c>
      <c r="P38" s="349"/>
      <c r="Q38" s="349"/>
      <c r="R38" s="349"/>
      <c r="S38" s="349"/>
      <c r="T38" s="349"/>
      <c r="U38" s="349"/>
      <c r="V38" s="349"/>
      <c r="W38" s="349"/>
      <c r="X38" s="349"/>
      <c r="Y38" s="349"/>
      <c r="Z38" s="349"/>
      <c r="AA38" s="349"/>
      <c r="AB38" s="349"/>
      <c r="AC38" s="349"/>
      <c r="AD38" s="349"/>
      <c r="AE38" s="349"/>
      <c r="AF38" s="349"/>
      <c r="AG38" s="349"/>
      <c r="AH38" s="191"/>
    </row>
    <row r="39" spans="1:47" s="177" customFormat="1" ht="27.95" customHeight="1">
      <c r="A39" s="176"/>
      <c r="B39" s="180"/>
      <c r="F39" s="213" t="s">
        <v>3907</v>
      </c>
      <c r="G39" s="348"/>
      <c r="H39" s="348"/>
      <c r="I39" s="348"/>
      <c r="J39" s="348"/>
      <c r="K39" s="348"/>
      <c r="L39" s="348"/>
      <c r="M39" s="348"/>
      <c r="N39" s="348"/>
      <c r="O39" s="349" t="s">
        <v>8708</v>
      </c>
      <c r="P39" s="349"/>
      <c r="Q39" s="349"/>
      <c r="R39" s="349"/>
      <c r="S39" s="349"/>
      <c r="T39" s="349"/>
      <c r="U39" s="349"/>
      <c r="V39" s="349"/>
      <c r="W39" s="349"/>
      <c r="X39" s="349"/>
      <c r="Y39" s="349"/>
      <c r="Z39" s="349"/>
      <c r="AA39" s="349"/>
      <c r="AB39" s="349"/>
      <c r="AC39" s="349"/>
      <c r="AD39" s="349"/>
      <c r="AE39" s="349"/>
      <c r="AF39" s="349"/>
      <c r="AG39" s="349"/>
      <c r="AH39" s="191"/>
    </row>
    <row r="40" spans="1:47" s="177" customFormat="1" ht="21" customHeight="1">
      <c r="A40" s="176"/>
      <c r="B40" s="180"/>
      <c r="F40" s="213" t="s">
        <v>3284</v>
      </c>
      <c r="G40" s="348"/>
      <c r="H40" s="348"/>
      <c r="I40" s="348"/>
      <c r="J40" s="348"/>
      <c r="K40" s="348"/>
      <c r="L40" s="348"/>
      <c r="M40" s="348"/>
      <c r="N40" s="348"/>
      <c r="O40" s="361" t="s">
        <v>8708</v>
      </c>
      <c r="P40" s="361"/>
      <c r="Q40" s="361"/>
      <c r="R40" s="361"/>
      <c r="S40" s="361"/>
      <c r="T40" s="361"/>
      <c r="U40" s="361"/>
      <c r="V40" s="361"/>
      <c r="W40" s="361"/>
      <c r="X40" s="361"/>
      <c r="Y40" s="361"/>
      <c r="Z40" s="361"/>
      <c r="AA40" s="361"/>
      <c r="AB40" s="361"/>
      <c r="AC40" s="361"/>
      <c r="AD40" s="361"/>
      <c r="AE40" s="361"/>
      <c r="AF40" s="361"/>
      <c r="AG40" s="361"/>
      <c r="AH40" s="191"/>
    </row>
    <row r="41" spans="1:47" s="177" customFormat="1" ht="21" customHeight="1">
      <c r="A41" s="176"/>
      <c r="B41" s="180"/>
      <c r="F41" s="214" t="s">
        <v>3908</v>
      </c>
      <c r="G41" s="362"/>
      <c r="H41" s="362"/>
      <c r="I41" s="362"/>
      <c r="J41" s="362"/>
      <c r="K41" s="362"/>
      <c r="L41" s="362"/>
      <c r="M41" s="362"/>
      <c r="N41" s="363"/>
      <c r="O41" s="364" t="s">
        <v>8708</v>
      </c>
      <c r="P41" s="365"/>
      <c r="Q41" s="365"/>
      <c r="R41" s="365"/>
      <c r="S41" s="365"/>
      <c r="T41" s="365"/>
      <c r="U41" s="365"/>
      <c r="V41" s="365"/>
      <c r="W41" s="365"/>
      <c r="X41" s="365"/>
      <c r="Y41" s="365"/>
      <c r="Z41" s="365"/>
      <c r="AA41" s="365"/>
      <c r="AB41" s="365"/>
      <c r="AC41" s="365"/>
      <c r="AD41" s="365"/>
      <c r="AE41" s="365"/>
      <c r="AF41" s="365"/>
      <c r="AG41" s="366"/>
      <c r="AH41" s="191"/>
    </row>
    <row r="42" spans="1:47" s="177" customFormat="1" ht="14.25" hidden="1" customHeight="1"/>
    <row r="43" spans="1:47" s="177" customFormat="1" ht="30.75" customHeight="1">
      <c r="A43" s="176"/>
      <c r="B43" s="180"/>
      <c r="F43" s="308" t="s">
        <v>4071</v>
      </c>
      <c r="G43" s="308"/>
      <c r="H43" s="308"/>
      <c r="I43" s="308"/>
      <c r="J43" s="308"/>
      <c r="K43" s="308"/>
      <c r="L43" s="308"/>
      <c r="M43" s="308"/>
      <c r="N43" s="308"/>
      <c r="O43" s="309"/>
      <c r="P43" s="308"/>
      <c r="Q43" s="308"/>
      <c r="R43" s="308"/>
      <c r="S43" s="308"/>
      <c r="T43" s="308"/>
      <c r="U43" s="308"/>
      <c r="V43" s="308"/>
      <c r="W43" s="308"/>
      <c r="X43" s="308"/>
      <c r="Y43" s="308"/>
      <c r="Z43" s="308"/>
      <c r="AA43" s="308"/>
      <c r="AB43" s="308"/>
      <c r="AC43" s="308"/>
      <c r="AD43" s="308"/>
      <c r="AE43" s="308"/>
      <c r="AF43" s="308"/>
      <c r="AG43" s="308"/>
    </row>
    <row r="44" spans="1:47" s="177" customFormat="1">
      <c r="A44" s="176"/>
      <c r="B44" s="180"/>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row>
    <row r="45" spans="1:47" s="177" customFormat="1">
      <c r="A45" s="176"/>
      <c r="B45" s="180"/>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row>
    <row r="46" spans="1:47" s="177" customFormat="1" ht="27.95" customHeight="1">
      <c r="A46" s="176"/>
      <c r="B46" s="180"/>
      <c r="F46" s="258" t="s">
        <v>3119</v>
      </c>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row>
    <row r="47" spans="1:47" s="177" customFormat="1">
      <c r="A47" s="176"/>
      <c r="B47" s="180"/>
    </row>
    <row r="48" spans="1:47" s="177" customFormat="1" ht="24" customHeight="1">
      <c r="A48" s="176"/>
      <c r="B48" s="180" t="s">
        <v>3904</v>
      </c>
      <c r="F48" s="273" t="s">
        <v>3120</v>
      </c>
      <c r="G48" s="274"/>
      <c r="H48" s="275" t="s">
        <v>3121</v>
      </c>
      <c r="I48" s="276"/>
      <c r="J48" s="276"/>
      <c r="K48" s="277" t="s">
        <v>1</v>
      </c>
      <c r="L48" s="278"/>
      <c r="M48" s="278"/>
      <c r="N48" s="278"/>
      <c r="O48" s="310"/>
      <c r="P48" s="277" t="s">
        <v>3123</v>
      </c>
      <c r="Q48" s="278"/>
      <c r="R48" s="278"/>
      <c r="S48" s="278"/>
      <c r="T48" s="278"/>
      <c r="U48" s="310"/>
      <c r="V48" s="277" t="s">
        <v>3122</v>
      </c>
      <c r="W48" s="278"/>
      <c r="X48" s="278"/>
      <c r="Y48" s="278"/>
      <c r="Z48" s="278"/>
      <c r="AA48" s="278"/>
      <c r="AB48" s="278"/>
      <c r="AC48" s="278"/>
      <c r="AD48" s="278"/>
      <c r="AE48" s="310"/>
      <c r="AF48" s="277" t="s">
        <v>159</v>
      </c>
      <c r="AG48" s="278"/>
    </row>
    <row r="49" spans="1:33" s="177" customFormat="1">
      <c r="A49" s="176"/>
      <c r="B49" s="180"/>
      <c r="F49" s="356">
        <v>1</v>
      </c>
      <c r="G49" s="357"/>
      <c r="H49" s="358">
        <v>46219</v>
      </c>
      <c r="I49" s="358"/>
      <c r="J49" s="358"/>
      <c r="K49" s="359" t="s">
        <v>1778</v>
      </c>
      <c r="L49" s="359"/>
      <c r="M49" s="359"/>
      <c r="N49" s="359"/>
      <c r="O49" s="359"/>
      <c r="P49" s="359" t="s">
        <v>1260</v>
      </c>
      <c r="Q49" s="359"/>
      <c r="R49" s="359"/>
      <c r="S49" s="359"/>
      <c r="T49" s="359"/>
      <c r="U49" s="359"/>
      <c r="V49" s="359" t="s">
        <v>8709</v>
      </c>
      <c r="W49" s="359"/>
      <c r="X49" s="359"/>
      <c r="Y49" s="359"/>
      <c r="Z49" s="359"/>
      <c r="AA49" s="359"/>
      <c r="AB49" s="359"/>
      <c r="AC49" s="359"/>
      <c r="AD49" s="359"/>
      <c r="AE49" s="359"/>
      <c r="AF49" s="354">
        <v>50</v>
      </c>
      <c r="AG49" s="354"/>
    </row>
    <row r="50" spans="1:33" s="177" customFormat="1" ht="6.75" customHeight="1">
      <c r="A50" s="176"/>
      <c r="B50" s="180"/>
      <c r="F50" s="192"/>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row>
    <row r="51" spans="1:33" s="177" customFormat="1">
      <c r="A51" s="176"/>
      <c r="B51" s="180"/>
      <c r="F51" s="150" t="s">
        <v>3124</v>
      </c>
      <c r="G51" s="137"/>
      <c r="H51" s="137"/>
      <c r="I51" s="138"/>
      <c r="J51" s="138"/>
      <c r="K51" s="138"/>
      <c r="L51" s="138"/>
      <c r="M51" s="138"/>
      <c r="N51" s="138"/>
      <c r="O51" s="138"/>
      <c r="P51" s="139"/>
    </row>
    <row r="52" spans="1:33" s="177" customFormat="1">
      <c r="A52" s="176"/>
      <c r="B52" s="180"/>
      <c r="F52" s="186"/>
    </row>
    <row r="53" spans="1:33" s="177" customFormat="1">
      <c r="A53" s="176"/>
      <c r="B53" s="180"/>
      <c r="F53" s="186"/>
    </row>
    <row r="54" spans="1:33" s="177" customFormat="1" ht="27.95" customHeight="1">
      <c r="A54" s="176"/>
      <c r="B54" s="180"/>
      <c r="F54" s="258" t="s">
        <v>125</v>
      </c>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row>
    <row r="55" spans="1:33" s="177" customFormat="1">
      <c r="A55" s="176"/>
      <c r="B55" s="180"/>
      <c r="F55" s="21"/>
      <c r="G55" s="21"/>
      <c r="H55" s="21"/>
      <c r="I55" s="21"/>
      <c r="J55" s="21"/>
      <c r="K55" s="21"/>
      <c r="L55" s="21"/>
      <c r="M55" s="21"/>
      <c r="N55" s="22"/>
      <c r="O55" s="22"/>
      <c r="P55" s="22"/>
      <c r="Q55" s="22"/>
    </row>
    <row r="56" spans="1:33" s="177" customFormat="1">
      <c r="A56" s="176"/>
      <c r="B56" s="180" t="s">
        <v>124</v>
      </c>
      <c r="F56" s="169" t="s">
        <v>126</v>
      </c>
      <c r="G56" s="355" t="s">
        <v>1373</v>
      </c>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271" t="s">
        <v>127</v>
      </c>
      <c r="AF56" s="271"/>
      <c r="AG56" s="271"/>
    </row>
    <row r="57" spans="1:33" s="177" customFormat="1">
      <c r="A57" s="176"/>
      <c r="B57" s="180"/>
      <c r="F57" s="193">
        <v>1</v>
      </c>
      <c r="G57" s="350" t="s">
        <v>8710</v>
      </c>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1">
        <v>5.0000000000000001E-3</v>
      </c>
      <c r="AF57" s="351"/>
      <c r="AG57" s="351"/>
    </row>
    <row r="58" spans="1:33" s="177" customFormat="1">
      <c r="A58" s="176"/>
      <c r="B58" s="180"/>
      <c r="F58" s="193">
        <v>2</v>
      </c>
      <c r="G58" s="350" t="s">
        <v>8711</v>
      </c>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1">
        <v>5.0000000000000001E-3</v>
      </c>
      <c r="AF58" s="351"/>
      <c r="AG58" s="351"/>
    </row>
    <row r="59" spans="1:33" s="177" customFormat="1">
      <c r="A59" s="176"/>
      <c r="B59" s="180"/>
      <c r="F59" s="192"/>
      <c r="G59" s="352" t="s">
        <v>128</v>
      </c>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3">
        <v>0.01</v>
      </c>
      <c r="AF59" s="353"/>
      <c r="AG59" s="353"/>
    </row>
    <row r="60" spans="1:33" s="177" customFormat="1">
      <c r="A60" s="176"/>
      <c r="B60" s="180"/>
      <c r="F60" s="192"/>
      <c r="G60" s="192"/>
      <c r="H60" s="192"/>
      <c r="I60" s="192"/>
      <c r="J60" s="192"/>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row>
    <row r="61" spans="1:33" s="177" customFormat="1">
      <c r="A61" s="176"/>
      <c r="B61" s="180" t="s">
        <v>139</v>
      </c>
    </row>
  </sheetData>
  <sheetProtection algorithmName="SHA-512" hashValue="1olUiMbwQN2A+Wf/ezPY+u7SdEDVlHukz94prakeJUN4+uAmfJyHCtBG1MZ+IhZ+9tdCKns2kIeaHVbTxezKEQ==" saltValue="P+AQV0tqrB8FmPBur2rENQ=="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210"/>
    </row>
    <row r="6" spans="1:1">
      <c r="A6" s="210"/>
    </row>
    <row r="7" spans="1:1" hidden="1">
      <c r="A7" s="210"/>
    </row>
    <row r="8" spans="1:1" hidden="1">
      <c r="A8" s="197"/>
    </row>
    <row r="9" spans="1:1" hidden="1">
      <c r="A9" s="197"/>
    </row>
    <row r="10" spans="1:1" ht="27.95" customHeight="1">
      <c r="A10" s="293" t="s">
        <v>163</v>
      </c>
    </row>
    <row r="11" spans="1:1" ht="4.5" customHeight="1">
      <c r="A11" s="293"/>
    </row>
    <row r="12" spans="1:1" ht="14.25" customHeight="1">
      <c r="A12" s="294" t="s">
        <v>259</v>
      </c>
    </row>
    <row r="13" spans="1:1" ht="3.75" customHeight="1">
      <c r="A13" s="294"/>
    </row>
    <row r="14" spans="1:1" ht="14.25" customHeight="1">
      <c r="A14" s="282" t="s">
        <v>164</v>
      </c>
    </row>
    <row r="15" spans="1:1" ht="2.25" customHeight="1">
      <c r="A15" s="282"/>
    </row>
    <row r="16" spans="1:1" ht="14.25" customHeight="1">
      <c r="A16" s="295" t="s">
        <v>165</v>
      </c>
    </row>
    <row r="17" spans="1:104" ht="3" customHeight="1">
      <c r="A17" s="289"/>
    </row>
    <row r="18" spans="1:104" s="15" customFormat="1" ht="14.25" customHeight="1">
      <c r="A18" s="282"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82"/>
    </row>
    <row r="20" spans="1:104" ht="27.95" customHeight="1">
      <c r="A20" s="295" t="s">
        <v>167</v>
      </c>
    </row>
    <row r="21" spans="1:104" ht="4.5" customHeight="1">
      <c r="A21" s="289"/>
    </row>
    <row r="22" spans="1:104" ht="13.9" customHeight="1">
      <c r="A22" s="282" t="s">
        <v>1366</v>
      </c>
    </row>
    <row r="23" spans="1:104" ht="14.25" customHeight="1">
      <c r="A23" s="283"/>
    </row>
    <row r="24" spans="1:104" ht="15" customHeight="1">
      <c r="A24" s="228"/>
    </row>
    <row r="25" spans="1:104" ht="45" customHeight="1">
      <c r="A25" s="228"/>
    </row>
    <row r="26" spans="1:104" ht="14.25" customHeight="1">
      <c r="A26" s="284"/>
    </row>
    <row r="27" spans="1:104" ht="14.25" hidden="1" customHeight="1">
      <c r="A27" s="284"/>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fTPXULe21i4FWwIPrgfzPgac1n39YIZvgnrk6l6xKoreGvTMUWUj1FmxAXj8I+aVQ57a/5hkUPCEYZBqbU1Uog==" saltValue="RCuIvW4UWM2zq9m7X6LvUg=="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50" t="s">
        <v>4061</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28"/>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30"/>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31"/>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5" hidden="1">
      <c r="A5" s="210"/>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c r="A6" s="210"/>
    </row>
    <row r="7" spans="1:33" hidden="1">
      <c r="A7" s="210"/>
    </row>
    <row r="8" spans="1:33" hidden="1">
      <c r="A8" s="197"/>
    </row>
    <row r="9" spans="1:33" hidden="1">
      <c r="A9" s="197"/>
    </row>
    <row r="10" spans="1:33" ht="27.95" hidden="1" customHeight="1">
      <c r="B10" s="32"/>
      <c r="F10" s="258" t="s">
        <v>4066</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90" t="s">
        <v>3494</v>
      </c>
      <c r="H33" s="390"/>
      <c r="I33" s="390"/>
      <c r="J33" s="390" t="s">
        <v>3129</v>
      </c>
      <c r="K33" s="390"/>
      <c r="L33" s="390"/>
      <c r="M33" s="390"/>
      <c r="N33" s="390"/>
      <c r="O33" s="390"/>
      <c r="P33" s="390"/>
      <c r="Q33" s="390"/>
      <c r="R33" s="390"/>
      <c r="S33" s="390"/>
      <c r="T33" s="390"/>
      <c r="U33" s="390" t="s">
        <v>3933</v>
      </c>
      <c r="V33" s="390"/>
      <c r="W33" s="390"/>
      <c r="X33" s="271" t="s">
        <v>1322</v>
      </c>
      <c r="Y33" s="271"/>
      <c r="Z33" s="271"/>
      <c r="AA33" s="271" t="s">
        <v>1449</v>
      </c>
      <c r="AB33" s="271"/>
      <c r="AC33" s="271"/>
      <c r="AD33" s="271" t="s">
        <v>3926</v>
      </c>
      <c r="AE33" s="271"/>
      <c r="AF33" s="271" t="s">
        <v>3927</v>
      </c>
      <c r="AG33" s="271"/>
      <c r="AH33" s="271"/>
      <c r="AI33" s="271" t="s">
        <v>1352</v>
      </c>
      <c r="AJ33" s="271"/>
      <c r="AK33" s="271"/>
      <c r="AL33" s="271" t="s">
        <v>1324</v>
      </c>
      <c r="AM33" s="271"/>
      <c r="AN33" s="271" t="s">
        <v>1450</v>
      </c>
      <c r="AO33" s="271"/>
      <c r="AP33" s="271" t="s">
        <v>1354</v>
      </c>
      <c r="AQ33" s="271"/>
      <c r="AR33" s="271"/>
      <c r="AS33" s="271" t="s">
        <v>1353</v>
      </c>
      <c r="AT33" s="271"/>
      <c r="AU33" s="271"/>
      <c r="AV33" s="271" t="s">
        <v>3934</v>
      </c>
      <c r="AW33" s="271"/>
      <c r="AX33" s="271"/>
      <c r="AY33" s="271" t="s">
        <v>145</v>
      </c>
      <c r="AZ33" s="271"/>
      <c r="BA33" s="271"/>
      <c r="BB33" s="271"/>
      <c r="BC33" s="271"/>
      <c r="BD33" s="271"/>
      <c r="BE33" s="271" t="s">
        <v>3935</v>
      </c>
      <c r="BF33" s="271"/>
      <c r="BG33" s="271"/>
      <c r="BH33" s="271" t="s">
        <v>3936</v>
      </c>
      <c r="BI33" s="271"/>
      <c r="BJ33" s="271"/>
      <c r="BK33" s="271" t="s">
        <v>3938</v>
      </c>
      <c r="BL33" s="271"/>
      <c r="BM33" s="271"/>
    </row>
  </sheetData>
  <sheetProtection algorithmName="SHA-512" hashValue="uR6onTI19qKV046WJcGdZTptcZJyeUA7Fz6M4HOoOJh0tWJUhcFfcNAE4sZVDC9Z/ja7CdgRJoNhcJTrqrcmVg==" saltValue="hf8jmOJTiQUBpIbSLI1wFg=="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50" t="s">
        <v>1390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A2" s="61"/>
      <c r="B2" s="44"/>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B3" s="44"/>
      <c r="F3" s="391" t="str">
        <f>+SolCotizacion!F3</f>
        <v>Versión:7        05/02/2026</v>
      </c>
      <c r="G3" s="391"/>
      <c r="H3" s="391"/>
      <c r="I3" s="391"/>
      <c r="J3" s="391"/>
      <c r="K3" s="60"/>
      <c r="L3" s="257" t="s">
        <v>1565</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c r="B4" s="44"/>
      <c r="F4" s="392">
        <f>+SolCotizacion!F4</f>
        <v>0</v>
      </c>
      <c r="G4" s="392"/>
      <c r="H4" s="392"/>
      <c r="I4" s="392"/>
      <c r="J4" s="392"/>
      <c r="K4" s="60"/>
      <c r="L4" s="257"/>
      <c r="M4" s="257"/>
      <c r="N4" s="257"/>
      <c r="O4" s="257"/>
      <c r="P4" s="257"/>
      <c r="Q4" s="257"/>
      <c r="R4" s="257"/>
      <c r="S4" s="257"/>
      <c r="T4" s="257"/>
      <c r="U4" s="257"/>
      <c r="V4" s="257"/>
      <c r="W4" s="257"/>
      <c r="X4" s="257"/>
      <c r="Y4" s="257"/>
      <c r="Z4" s="257"/>
      <c r="AA4" s="257"/>
      <c r="AB4" s="60"/>
      <c r="AC4" s="60"/>
      <c r="AD4" s="60"/>
      <c r="AE4" s="60"/>
      <c r="AF4" s="60"/>
      <c r="AG4" s="60"/>
    </row>
    <row r="5" spans="1:38" ht="15" hidden="1">
      <c r="A5" s="285" t="s">
        <v>170</v>
      </c>
      <c r="B5" s="44"/>
      <c r="F5" s="259" t="s">
        <v>1368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c r="B6" s="44"/>
      <c r="F6" s="11"/>
      <c r="G6" s="11"/>
      <c r="H6" s="11"/>
      <c r="I6" s="11"/>
      <c r="J6" s="11"/>
    </row>
    <row r="7" spans="1:38" ht="14.25" customHeight="1">
      <c r="A7" s="287"/>
      <c r="B7" s="44"/>
      <c r="F7" s="11"/>
      <c r="G7" s="11"/>
      <c r="H7" s="11"/>
      <c r="I7" s="11"/>
      <c r="J7" s="11"/>
    </row>
    <row r="8" spans="1:38" ht="14.25" customHeight="1">
      <c r="A8" s="288" t="s">
        <v>162</v>
      </c>
      <c r="B8" s="44"/>
      <c r="F8" s="11"/>
      <c r="G8" s="11"/>
      <c r="H8" s="11"/>
      <c r="I8" s="11"/>
      <c r="J8" s="11"/>
    </row>
    <row r="9" spans="1:38" ht="14.25" customHeight="1">
      <c r="A9" s="289"/>
      <c r="B9" s="44"/>
      <c r="F9" s="397" t="s">
        <v>273</v>
      </c>
      <c r="G9" s="398"/>
      <c r="H9" s="398"/>
      <c r="I9" s="398"/>
      <c r="J9" s="398"/>
      <c r="K9" s="398"/>
      <c r="L9" s="398"/>
      <c r="M9" s="398"/>
      <c r="N9" s="398"/>
    </row>
    <row r="10" spans="1:38">
      <c r="A10" s="294" t="s">
        <v>163</v>
      </c>
      <c r="B10" s="44"/>
      <c r="F10" s="399" t="s">
        <v>171</v>
      </c>
      <c r="G10" s="399"/>
      <c r="H10" s="399"/>
      <c r="I10" s="399"/>
      <c r="J10" s="399"/>
      <c r="K10" s="399" t="s">
        <v>173</v>
      </c>
      <c r="L10" s="399"/>
      <c r="M10" s="399"/>
      <c r="N10" s="399"/>
    </row>
    <row r="11" spans="1:38" ht="4.5" customHeight="1">
      <c r="A11" s="294"/>
      <c r="B11" s="44"/>
      <c r="F11" s="399"/>
      <c r="G11" s="399"/>
      <c r="H11" s="399"/>
      <c r="I11" s="399"/>
      <c r="J11" s="399"/>
      <c r="K11" s="399"/>
      <c r="L11" s="399"/>
      <c r="M11" s="399"/>
      <c r="N11" s="399"/>
    </row>
    <row r="12" spans="1:38" ht="14.25" customHeight="1">
      <c r="A12" s="294" t="s">
        <v>259</v>
      </c>
      <c r="B12" s="44"/>
      <c r="F12" s="395" t="s">
        <v>174</v>
      </c>
      <c r="G12" s="395"/>
      <c r="H12" s="395"/>
      <c r="I12" s="395"/>
      <c r="J12" s="395"/>
      <c r="K12" s="396">
        <v>123</v>
      </c>
      <c r="L12" s="396"/>
      <c r="M12" s="396"/>
      <c r="N12" s="396"/>
    </row>
    <row r="13" spans="1:38" ht="3.75" customHeight="1">
      <c r="A13" s="294"/>
      <c r="B13" s="44"/>
      <c r="F13" s="395"/>
      <c r="G13" s="395"/>
      <c r="H13" s="395"/>
      <c r="I13" s="395"/>
      <c r="J13" s="395"/>
      <c r="K13" s="396"/>
      <c r="L13" s="396"/>
      <c r="M13" s="396"/>
      <c r="N13" s="396"/>
    </row>
    <row r="14" spans="1:38" ht="14.25" customHeight="1">
      <c r="A14" s="282" t="s">
        <v>164</v>
      </c>
      <c r="B14" s="44"/>
      <c r="F14" s="395" t="s">
        <v>145</v>
      </c>
      <c r="G14" s="395"/>
      <c r="H14" s="395"/>
      <c r="I14" s="395"/>
      <c r="J14" s="395"/>
      <c r="K14" s="395"/>
      <c r="L14" s="395"/>
      <c r="M14" s="395"/>
      <c r="N14" s="395"/>
    </row>
    <row r="15" spans="1:38" ht="2.25" customHeight="1">
      <c r="A15" s="282"/>
      <c r="B15" s="44"/>
      <c r="F15" s="395"/>
      <c r="G15" s="395"/>
      <c r="H15" s="395"/>
      <c r="I15" s="395"/>
      <c r="J15" s="395"/>
      <c r="K15" s="395"/>
      <c r="L15" s="395"/>
      <c r="M15" s="395"/>
      <c r="N15" s="395"/>
    </row>
    <row r="16" spans="1:38" ht="14.25" customHeight="1">
      <c r="A16" s="295" t="s">
        <v>165</v>
      </c>
      <c r="B16" s="44"/>
      <c r="F16" s="395" t="s">
        <v>274</v>
      </c>
      <c r="G16" s="395"/>
      <c r="H16" s="395"/>
      <c r="I16" s="395"/>
      <c r="J16" s="395"/>
      <c r="K16" s="396" t="s">
        <v>1372</v>
      </c>
      <c r="L16" s="396"/>
      <c r="M16" s="396"/>
      <c r="N16" s="396"/>
    </row>
    <row r="17" spans="1:49" ht="3" customHeight="1">
      <c r="A17" s="289"/>
      <c r="B17" s="44"/>
      <c r="F17" s="395"/>
      <c r="G17" s="395"/>
      <c r="H17" s="395"/>
      <c r="I17" s="395"/>
      <c r="J17" s="395"/>
      <c r="K17" s="396"/>
      <c r="L17" s="396"/>
      <c r="M17" s="396"/>
      <c r="N17" s="396"/>
    </row>
    <row r="18" spans="1:49" s="15" customFormat="1" ht="14.25" customHeight="1">
      <c r="A18" s="282"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82"/>
      <c r="B19" s="44"/>
    </row>
    <row r="20" spans="1:49">
      <c r="A20" s="295" t="s">
        <v>167</v>
      </c>
      <c r="B20" s="44"/>
    </row>
    <row r="21" spans="1:49" ht="4.5" customHeight="1">
      <c r="A21" s="289"/>
      <c r="B21" s="44"/>
    </row>
    <row r="22" spans="1:49" ht="13.9" customHeight="1">
      <c r="A22" s="393" t="s">
        <v>1366</v>
      </c>
      <c r="B22" s="46"/>
      <c r="C22" s="16"/>
      <c r="D22" s="16"/>
      <c r="E22" s="16"/>
    </row>
    <row r="23" spans="1:49" ht="14.25" customHeight="1">
      <c r="A23" s="394"/>
      <c r="B23" s="44"/>
    </row>
    <row r="24" spans="1:49" ht="13.9" customHeight="1">
      <c r="A24" s="228"/>
      <c r="B24" s="44"/>
    </row>
    <row r="25" spans="1:49" ht="14.25" customHeight="1">
      <c r="A25" s="228"/>
      <c r="B25" s="44"/>
    </row>
    <row r="26" spans="1:49" ht="14.25" customHeight="1">
      <c r="A26" s="284"/>
      <c r="B26" s="44"/>
    </row>
    <row r="27" spans="1:49" ht="14.25" customHeight="1">
      <c r="A27" s="284"/>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FDru7+fV6JBFSeAu7zsPUQeDuqpP6uYHu6yACOvf1yMMpNlHME2kfRfmuhND1X75igmIUfpmirECY/xGNlo52Q==" saltValue="qBFXfKblilHWVLL20hJZSw=="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400" t="s">
        <v>249</v>
      </c>
      <c r="I1" s="400"/>
      <c r="J1" s="400"/>
      <c r="K1" s="400"/>
      <c r="L1" s="400"/>
      <c r="M1" s="400"/>
      <c r="N1" s="400"/>
      <c r="O1" s="400"/>
      <c r="P1" s="400"/>
      <c r="Q1" s="400"/>
      <c r="R1" s="400"/>
      <c r="S1" s="400"/>
      <c r="T1" s="400"/>
      <c r="U1" s="400"/>
      <c r="V1" s="400"/>
      <c r="W1" s="400"/>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6m6KOleRgEmZ7khklqazrszOx4oUXJuCKDiCHtYfbMc9mahboCLWeN/svvvvZb6w7f9BiCk1aiS1r1S4JedkkQ==" saltValue="N67yqgqL0fXkFi50o3xm+A=="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3.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2.xml><?xml version="1.0" encoding="utf-8"?>
<ds:datastoreItem xmlns:ds="http://schemas.openxmlformats.org/officeDocument/2006/customXml" ds:itemID="{DFBE866A-5624-48F2-A482-763F66EAD3A4}">
  <ds:schemaRef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3eb71fc0-4b16-438a-8a83-6af8750b73de"/>
    <ds:schemaRef ds:uri="http://schemas.microsoft.com/office/2006/metadata/properties"/>
    <ds:schemaRef ds:uri="a39e57ef-928e-48af-a876-9847393d86d6"/>
    <ds:schemaRef ds:uri="http://schemas.microsoft.com/office/infopath/2007/PartnerControls"/>
  </ds:schemaRefs>
</ds:datastoreItem>
</file>

<file path=customXml/itemProps3.xml><?xml version="1.0" encoding="utf-8"?>
<ds:datastoreItem xmlns:ds="http://schemas.openxmlformats.org/officeDocument/2006/customXml" ds:itemID="{59ECE592-B35E-4FEF-ABE7-8AB05A466C3E}">
  <ds:schemaRefs>
    <ds:schemaRef ds:uri="http://schemas.microsoft.com/DataMashup"/>
  </ds:schemaRefs>
</ds:datastoreItem>
</file>

<file path=customXml/itemProps4.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