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USB\SENA 2024\ASEO Y CAFETERIA AGO 2024\NUEVA ORDEN\RESPUESTAS EVENTO\OFERTAS PARA CARGAR\"/>
    </mc:Choice>
  </mc:AlternateContent>
  <xr:revisionPtr revIDLastSave="0" documentId="8_{1B9C1BD5-211E-488B-8DFC-DCFE1A2B66AD}" xr6:coauthVersionLast="47" xr6:coauthVersionMax="47" xr10:uidLastSave="{00000000-0000-0000-0000-000000000000}"/>
  <bookViews>
    <workbookView xWindow="-120" yWindow="-120" windowWidth="29040" windowHeight="15840" tabRatio="951" activeTab="5" xr2:uid="{00000000-000D-0000-FFFF-FFFF00000000}"/>
  </bookViews>
  <sheets>
    <sheet name="Cuadro de control" sheetId="37" r:id="rId1"/>
    <sheet name="Precios oferta" sheetId="45" r:id="rId2"/>
    <sheet name="Precios piso" sheetId="44" r:id="rId3"/>
    <sheet name="Costo psonal" sheetId="41" r:id="rId4"/>
    <sheet name="Costo polizas" sheetId="38" r:id="rId5"/>
    <sheet name="Costo adq" sheetId="39" r:id="rId6"/>
    <sheet name="Evento Cotiz" sheetId="40" r:id="rId7"/>
    <sheet name="Evento Cotiz DEF" sheetId="46" r:id="rId8"/>
    <sheet name="Dcto ofertar" sheetId="43" r:id="rId9"/>
    <sheet name="Hoja5" sheetId="42" r:id="rId10"/>
  </sheets>
  <externalReferences>
    <externalReference r:id="rId11"/>
    <externalReference r:id="rId12"/>
  </externalReferences>
  <definedNames>
    <definedName name="_xlnm._FilterDatabase" localSheetId="8" hidden="1">'Dcto ofertar'!$A$1:$P$1</definedName>
    <definedName name="_xlnm.Print_Area" localSheetId="3">'Costo psonal'!$H$19:$K$30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9" i="40" l="1"/>
  <c r="Q467" i="40"/>
  <c r="I46" i="41"/>
  <c r="G9" i="41"/>
  <c r="G8" i="41"/>
  <c r="C485" i="40"/>
  <c r="C486" i="40"/>
  <c r="J25" i="41" l="1"/>
  <c r="J24" i="41"/>
  <c r="J23" i="41"/>
  <c r="D18" i="41"/>
  <c r="D9" i="41"/>
  <c r="D485" i="40"/>
  <c r="I2" i="46"/>
  <c r="D6" i="40"/>
  <c r="K2" i="46" s="1"/>
  <c r="G7" i="40"/>
  <c r="F10" i="40" s="1"/>
  <c r="K23" i="41"/>
  <c r="K24" i="41"/>
  <c r="K22" i="41"/>
  <c r="K25" i="41"/>
  <c r="K26" i="41"/>
  <c r="K27" i="41"/>
  <c r="K28" i="41"/>
  <c r="M3" i="39"/>
  <c r="O7" i="39"/>
  <c r="M7" i="39"/>
  <c r="L7" i="39"/>
  <c r="K1" i="46"/>
  <c r="E19" i="40"/>
  <c r="O4" i="46"/>
  <c r="Q472" i="40"/>
  <c r="R471" i="40"/>
  <c r="D50" i="40"/>
  <c r="H3" i="43"/>
  <c r="H4" i="43"/>
  <c r="H5" i="43"/>
  <c r="H6" i="43"/>
  <c r="H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H236" i="43"/>
  <c r="H237" i="43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H252" i="43"/>
  <c r="H253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H268" i="43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83" i="43"/>
  <c r="H284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H297" i="43"/>
  <c r="H298" i="43"/>
  <c r="H299" i="43"/>
  <c r="H300" i="43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H313" i="43"/>
  <c r="H314" i="43"/>
  <c r="H315" i="43"/>
  <c r="H316" i="43"/>
  <c r="H317" i="43"/>
  <c r="H318" i="43"/>
  <c r="H319" i="43"/>
  <c r="H320" i="43"/>
  <c r="H321" i="43"/>
  <c r="H322" i="43"/>
  <c r="H323" i="43"/>
  <c r="H324" i="43"/>
  <c r="H325" i="43"/>
  <c r="H326" i="43"/>
  <c r="H327" i="43"/>
  <c r="H328" i="43"/>
  <c r="H329" i="43"/>
  <c r="H330" i="43"/>
  <c r="H331" i="43"/>
  <c r="H332" i="43"/>
  <c r="H333" i="43"/>
  <c r="H334" i="43"/>
  <c r="H335" i="43"/>
  <c r="H336" i="43"/>
  <c r="H337" i="43"/>
  <c r="H338" i="43"/>
  <c r="H339" i="43"/>
  <c r="H340" i="43"/>
  <c r="H341" i="43"/>
  <c r="H342" i="43"/>
  <c r="H343" i="43"/>
  <c r="H344" i="43"/>
  <c r="H345" i="43"/>
  <c r="H346" i="43"/>
  <c r="H347" i="43"/>
  <c r="H348" i="43"/>
  <c r="H349" i="43"/>
  <c r="H350" i="43"/>
  <c r="H351" i="43"/>
  <c r="H352" i="43"/>
  <c r="H353" i="43"/>
  <c r="H354" i="43"/>
  <c r="H355" i="43"/>
  <c r="H356" i="43"/>
  <c r="H357" i="43"/>
  <c r="H358" i="43"/>
  <c r="H359" i="43"/>
  <c r="H360" i="43"/>
  <c r="H361" i="43"/>
  <c r="H362" i="43"/>
  <c r="H363" i="43"/>
  <c r="H364" i="43"/>
  <c r="H365" i="43"/>
  <c r="H366" i="43"/>
  <c r="H367" i="43"/>
  <c r="H368" i="43"/>
  <c r="H369" i="43"/>
  <c r="H370" i="43"/>
  <c r="H371" i="43"/>
  <c r="H372" i="43"/>
  <c r="H373" i="43"/>
  <c r="H374" i="43"/>
  <c r="H375" i="43"/>
  <c r="H376" i="43"/>
  <c r="H377" i="43"/>
  <c r="H378" i="43"/>
  <c r="H379" i="43"/>
  <c r="H380" i="43"/>
  <c r="H381" i="43"/>
  <c r="H382" i="43"/>
  <c r="H383" i="43"/>
  <c r="H384" i="43"/>
  <c r="H385" i="43"/>
  <c r="H386" i="43"/>
  <c r="H387" i="43"/>
  <c r="H388" i="43"/>
  <c r="H389" i="43"/>
  <c r="H390" i="43"/>
  <c r="H391" i="43"/>
  <c r="H392" i="43"/>
  <c r="H393" i="43"/>
  <c r="H394" i="43"/>
  <c r="H395" i="43"/>
  <c r="H396" i="43"/>
  <c r="H397" i="43"/>
  <c r="H398" i="43"/>
  <c r="H399" i="43"/>
  <c r="H400" i="43"/>
  <c r="H401" i="43"/>
  <c r="H402" i="43"/>
  <c r="H403" i="43"/>
  <c r="H404" i="43"/>
  <c r="H405" i="43"/>
  <c r="H406" i="43"/>
  <c r="H407" i="43"/>
  <c r="H408" i="43"/>
  <c r="H2" i="43"/>
  <c r="AA48" i="40"/>
  <c r="AB48" i="40" s="1"/>
  <c r="D62" i="46"/>
  <c r="M481" i="40"/>
  <c r="N467" i="40"/>
  <c r="M3" i="46" s="1"/>
  <c r="Q473" i="40" l="1"/>
  <c r="Q474" i="40" s="1"/>
  <c r="G8" i="40"/>
  <c r="I10" i="40"/>
  <c r="K29" i="41"/>
  <c r="M483" i="40"/>
  <c r="M482" i="40"/>
  <c r="M480" i="40"/>
  <c r="M479" i="40"/>
  <c r="Q475" i="40" l="1"/>
  <c r="D411" i="46"/>
  <c r="D410" i="46"/>
  <c r="D409" i="46"/>
  <c r="D25" i="46"/>
  <c r="D408" i="46"/>
  <c r="D407" i="46"/>
  <c r="D406" i="46"/>
  <c r="D405" i="46"/>
  <c r="D404" i="46"/>
  <c r="D403" i="46"/>
  <c r="D402" i="46"/>
  <c r="D401" i="46"/>
  <c r="D400" i="46"/>
  <c r="D399" i="46"/>
  <c r="D398" i="46"/>
  <c r="D397" i="46"/>
  <c r="D396" i="46"/>
  <c r="D395" i="46"/>
  <c r="D394" i="46"/>
  <c r="D393" i="46"/>
  <c r="D392" i="46"/>
  <c r="D391" i="46"/>
  <c r="D390" i="46"/>
  <c r="D389" i="46"/>
  <c r="D388" i="46"/>
  <c r="D387" i="46"/>
  <c r="D386" i="46"/>
  <c r="D385" i="46"/>
  <c r="D384" i="46"/>
  <c r="D383" i="46"/>
  <c r="D382" i="46"/>
  <c r="D381" i="46"/>
  <c r="D380" i="46"/>
  <c r="D379" i="46"/>
  <c r="D378" i="46"/>
  <c r="D377" i="46"/>
  <c r="D85" i="46"/>
  <c r="D376" i="46"/>
  <c r="D375" i="46"/>
  <c r="D374" i="46"/>
  <c r="D19" i="46"/>
  <c r="D373" i="46"/>
  <c r="D372" i="46"/>
  <c r="D371" i="46"/>
  <c r="D370" i="46"/>
  <c r="D369" i="46"/>
  <c r="D368" i="46"/>
  <c r="D367" i="46"/>
  <c r="D366" i="46"/>
  <c r="D365" i="46"/>
  <c r="D364" i="46"/>
  <c r="D363" i="46"/>
  <c r="D362" i="46"/>
  <c r="D361" i="46"/>
  <c r="D360" i="46"/>
  <c r="D359" i="46"/>
  <c r="D358" i="46"/>
  <c r="D357" i="46"/>
  <c r="D356" i="46"/>
  <c r="D355" i="46"/>
  <c r="D354" i="46"/>
  <c r="D353" i="46"/>
  <c r="D352" i="46"/>
  <c r="D351" i="46"/>
  <c r="D350" i="46"/>
  <c r="D349" i="46"/>
  <c r="D348" i="46"/>
  <c r="D347" i="46"/>
  <c r="D346" i="46"/>
  <c r="D345" i="46"/>
  <c r="D344" i="46"/>
  <c r="D343" i="46"/>
  <c r="D342" i="46"/>
  <c r="D341" i="46"/>
  <c r="D340" i="46"/>
  <c r="D339" i="46"/>
  <c r="D338" i="46"/>
  <c r="D337" i="46"/>
  <c r="D336" i="46"/>
  <c r="D335" i="46"/>
  <c r="D334" i="46"/>
  <c r="D333" i="46"/>
  <c r="D332" i="46"/>
  <c r="D331" i="46"/>
  <c r="D330" i="46"/>
  <c r="D329" i="46"/>
  <c r="D328" i="46"/>
  <c r="D327" i="46"/>
  <c r="D326" i="46"/>
  <c r="D325" i="46"/>
  <c r="D324" i="46"/>
  <c r="D323" i="46"/>
  <c r="D322" i="46"/>
  <c r="D321" i="46"/>
  <c r="D320" i="46"/>
  <c r="D319" i="46"/>
  <c r="D318" i="46"/>
  <c r="D317" i="46"/>
  <c r="D316" i="46"/>
  <c r="D315" i="46"/>
  <c r="D314" i="46"/>
  <c r="D313" i="46"/>
  <c r="D312" i="46"/>
  <c r="D311" i="46"/>
  <c r="D310" i="46"/>
  <c r="D89" i="46"/>
  <c r="D309" i="46"/>
  <c r="D308" i="46"/>
  <c r="D307" i="46"/>
  <c r="D306" i="46"/>
  <c r="D305" i="46"/>
  <c r="D304" i="46"/>
  <c r="D303" i="46"/>
  <c r="D302" i="46"/>
  <c r="D301" i="46"/>
  <c r="D300" i="46"/>
  <c r="D299" i="46"/>
  <c r="D298" i="46"/>
  <c r="D297" i="46"/>
  <c r="D296" i="46"/>
  <c r="D295" i="46"/>
  <c r="D294" i="46"/>
  <c r="D293" i="46"/>
  <c r="D292" i="46"/>
  <c r="D291" i="46"/>
  <c r="D290" i="46"/>
  <c r="D72" i="46"/>
  <c r="D289" i="46"/>
  <c r="D288" i="46"/>
  <c r="D287" i="46"/>
  <c r="D286" i="46"/>
  <c r="D285" i="46"/>
  <c r="D284" i="46"/>
  <c r="D283" i="46"/>
  <c r="D282" i="46"/>
  <c r="D281" i="46"/>
  <c r="D280" i="46"/>
  <c r="D279" i="46"/>
  <c r="D278" i="46"/>
  <c r="D277" i="46"/>
  <c r="D276" i="46"/>
  <c r="D275" i="46"/>
  <c r="D274" i="46"/>
  <c r="D273" i="46"/>
  <c r="D272" i="46"/>
  <c r="D271" i="46"/>
  <c r="D270" i="46"/>
  <c r="D269" i="46"/>
  <c r="D268" i="46"/>
  <c r="D267" i="46"/>
  <c r="D266" i="46"/>
  <c r="D265" i="46"/>
  <c r="D264" i="46"/>
  <c r="D263" i="46"/>
  <c r="D262" i="46"/>
  <c r="D261" i="46"/>
  <c r="D260" i="46"/>
  <c r="D259" i="46"/>
  <c r="D74" i="46"/>
  <c r="D258" i="46"/>
  <c r="D257" i="46"/>
  <c r="D256" i="46"/>
  <c r="D255" i="46"/>
  <c r="D254" i="46"/>
  <c r="D253" i="46"/>
  <c r="D252" i="46"/>
  <c r="D251" i="46"/>
  <c r="D250" i="46"/>
  <c r="D249" i="46"/>
  <c r="D248" i="46"/>
  <c r="D247" i="46"/>
  <c r="D246" i="46"/>
  <c r="D245" i="46"/>
  <c r="D244" i="46"/>
  <c r="D243" i="46"/>
  <c r="D242" i="46"/>
  <c r="D241" i="46"/>
  <c r="D240" i="46"/>
  <c r="D239" i="46"/>
  <c r="D238" i="46"/>
  <c r="D237" i="46"/>
  <c r="D236" i="46"/>
  <c r="D235" i="46"/>
  <c r="D234" i="46"/>
  <c r="D233" i="46"/>
  <c r="D232" i="46"/>
  <c r="D231" i="46"/>
  <c r="D230" i="46"/>
  <c r="D229" i="46"/>
  <c r="D228" i="46"/>
  <c r="D227" i="46"/>
  <c r="D226" i="46"/>
  <c r="D225" i="46"/>
  <c r="D224" i="46"/>
  <c r="D223" i="46"/>
  <c r="D222" i="46"/>
  <c r="D221" i="46"/>
  <c r="D220" i="46"/>
  <c r="D219" i="46"/>
  <c r="D218" i="46"/>
  <c r="D71" i="46"/>
  <c r="D217" i="46"/>
  <c r="D56" i="46"/>
  <c r="D90" i="46"/>
  <c r="D87" i="46"/>
  <c r="D216" i="46"/>
  <c r="D86" i="46"/>
  <c r="D215" i="46"/>
  <c r="D214" i="46"/>
  <c r="D42" i="46"/>
  <c r="D20" i="46"/>
  <c r="D213" i="46"/>
  <c r="D212" i="46"/>
  <c r="D211" i="46"/>
  <c r="D7" i="46"/>
  <c r="D210" i="46"/>
  <c r="D209" i="46"/>
  <c r="D208" i="46"/>
  <c r="D207" i="46"/>
  <c r="D206" i="46"/>
  <c r="D205" i="46"/>
  <c r="D204" i="46"/>
  <c r="D203" i="46"/>
  <c r="D63" i="46"/>
  <c r="D202" i="46"/>
  <c r="D201" i="46"/>
  <c r="D200" i="46"/>
  <c r="D31" i="46"/>
  <c r="D199" i="46"/>
  <c r="D198" i="46"/>
  <c r="D197" i="46"/>
  <c r="D34" i="46"/>
  <c r="D68" i="46"/>
  <c r="D196" i="46"/>
  <c r="D195" i="46"/>
  <c r="D194" i="46"/>
  <c r="D193" i="46"/>
  <c r="D5" i="46"/>
  <c r="D78" i="46"/>
  <c r="D43" i="46"/>
  <c r="D192" i="46"/>
  <c r="D191" i="46"/>
  <c r="D190" i="46"/>
  <c r="D88" i="46"/>
  <c r="D73" i="46"/>
  <c r="D189" i="46"/>
  <c r="D188" i="46"/>
  <c r="D79" i="46"/>
  <c r="D69" i="46"/>
  <c r="D187" i="46"/>
  <c r="D186" i="46"/>
  <c r="D33" i="46"/>
  <c r="D185" i="46"/>
  <c r="D184" i="46"/>
  <c r="D183" i="46"/>
  <c r="D182" i="46"/>
  <c r="D181" i="46"/>
  <c r="D180" i="46"/>
  <c r="D179" i="46"/>
  <c r="D178" i="46"/>
  <c r="D6" i="46"/>
  <c r="D177" i="46"/>
  <c r="D16" i="46"/>
  <c r="D28" i="46"/>
  <c r="D176" i="46"/>
  <c r="D40" i="46"/>
  <c r="D175" i="46"/>
  <c r="D174" i="46"/>
  <c r="D173" i="46"/>
  <c r="D172" i="46"/>
  <c r="D171" i="46"/>
  <c r="D170" i="46"/>
  <c r="D32" i="46"/>
  <c r="D27" i="46"/>
  <c r="D26" i="46"/>
  <c r="D169" i="46"/>
  <c r="D24" i="46"/>
  <c r="D168" i="46"/>
  <c r="D167" i="46"/>
  <c r="D66" i="46"/>
  <c r="D39" i="46"/>
  <c r="D46" i="46"/>
  <c r="D57" i="46"/>
  <c r="D166" i="46"/>
  <c r="D165" i="46"/>
  <c r="D55" i="46"/>
  <c r="D48" i="46"/>
  <c r="D47" i="46"/>
  <c r="D49" i="46"/>
  <c r="D164" i="46"/>
  <c r="D163" i="46"/>
  <c r="D64" i="46"/>
  <c r="D60" i="46"/>
  <c r="D59" i="46"/>
  <c r="D65" i="46"/>
  <c r="D162" i="46"/>
  <c r="D161" i="46"/>
  <c r="D84" i="46"/>
  <c r="D76" i="46"/>
  <c r="D77" i="46"/>
  <c r="D80" i="46"/>
  <c r="D160" i="46"/>
  <c r="D159" i="46"/>
  <c r="D158" i="46"/>
  <c r="D157" i="46"/>
  <c r="D156" i="46"/>
  <c r="D155" i="46"/>
  <c r="D154" i="46"/>
  <c r="D83" i="46"/>
  <c r="D41" i="46"/>
  <c r="D153" i="46"/>
  <c r="D23" i="46"/>
  <c r="D37" i="46"/>
  <c r="D152" i="46"/>
  <c r="D44" i="46"/>
  <c r="D151" i="46"/>
  <c r="D82" i="46"/>
  <c r="D150" i="46"/>
  <c r="D149" i="46"/>
  <c r="D75" i="46"/>
  <c r="D148" i="46"/>
  <c r="D147" i="46"/>
  <c r="D30" i="46"/>
  <c r="D146" i="46"/>
  <c r="D38" i="46"/>
  <c r="D145" i="46"/>
  <c r="D144" i="46"/>
  <c r="D143" i="46"/>
  <c r="D142" i="46"/>
  <c r="D81" i="46"/>
  <c r="D141" i="46"/>
  <c r="D70" i="46"/>
  <c r="D140" i="46"/>
  <c r="D139" i="46"/>
  <c r="D53" i="46"/>
  <c r="D138" i="46"/>
  <c r="D52" i="46"/>
  <c r="D51" i="46"/>
  <c r="D137" i="46"/>
  <c r="D136" i="46"/>
  <c r="D50" i="46"/>
  <c r="D135" i="46"/>
  <c r="D54" i="46"/>
  <c r="D134" i="46"/>
  <c r="D133" i="46"/>
  <c r="D132" i="46"/>
  <c r="D18" i="46"/>
  <c r="D131" i="46"/>
  <c r="D130" i="46"/>
  <c r="D129" i="46"/>
  <c r="D36" i="46"/>
  <c r="D128" i="46"/>
  <c r="D45" i="46"/>
  <c r="D127" i="46"/>
  <c r="D21" i="46"/>
  <c r="D29" i="46"/>
  <c r="D35" i="46"/>
  <c r="D126" i="46"/>
  <c r="D14" i="46"/>
  <c r="D125" i="46"/>
  <c r="D124" i="46"/>
  <c r="D22" i="46"/>
  <c r="D123" i="46"/>
  <c r="D122" i="46"/>
  <c r="D121" i="46"/>
  <c r="D61" i="46"/>
  <c r="D120" i="46"/>
  <c r="D119" i="46"/>
  <c r="D118" i="46"/>
  <c r="D117" i="46"/>
  <c r="D116" i="46"/>
  <c r="D58" i="46"/>
  <c r="D115" i="46"/>
  <c r="D114" i="46"/>
  <c r="D113" i="46"/>
  <c r="D112" i="46"/>
  <c r="D8" i="46"/>
  <c r="D111" i="46"/>
  <c r="D110" i="46"/>
  <c r="D17" i="46"/>
  <c r="D67" i="46"/>
  <c r="D109" i="46"/>
  <c r="D108" i="46"/>
  <c r="D107" i="46"/>
  <c r="D13" i="46"/>
  <c r="D15" i="46"/>
  <c r="D106" i="46"/>
  <c r="D10" i="46"/>
  <c r="D105" i="46"/>
  <c r="D104" i="46"/>
  <c r="D103" i="46"/>
  <c r="D12" i="46"/>
  <c r="D102" i="46"/>
  <c r="D101" i="46"/>
  <c r="D11" i="46"/>
  <c r="D100" i="46"/>
  <c r="D99" i="46"/>
  <c r="D98" i="46"/>
  <c r="D97" i="46"/>
  <c r="D96" i="46"/>
  <c r="D95" i="46"/>
  <c r="D94" i="46"/>
  <c r="D93" i="46"/>
  <c r="D9" i="46"/>
  <c r="D92" i="46"/>
  <c r="D91" i="46"/>
  <c r="D261" i="40"/>
  <c r="D262" i="40"/>
  <c r="D263" i="40"/>
  <c r="D264" i="40"/>
  <c r="D265" i="40"/>
  <c r="D266" i="40"/>
  <c r="D267" i="40"/>
  <c r="D268" i="40"/>
  <c r="D269" i="40"/>
  <c r="D270" i="40"/>
  <c r="D271" i="40"/>
  <c r="D272" i="40"/>
  <c r="D273" i="40"/>
  <c r="D274" i="40"/>
  <c r="D275" i="40"/>
  <c r="D276" i="40"/>
  <c r="D277" i="40"/>
  <c r="D278" i="40"/>
  <c r="D279" i="40"/>
  <c r="D280" i="40"/>
  <c r="D281" i="40"/>
  <c r="D282" i="40"/>
  <c r="D283" i="40"/>
  <c r="D284" i="40"/>
  <c r="D285" i="40"/>
  <c r="D286" i="40"/>
  <c r="D287" i="40"/>
  <c r="D288" i="40"/>
  <c r="D289" i="40"/>
  <c r="D290" i="40"/>
  <c r="D291" i="40"/>
  <c r="D292" i="40"/>
  <c r="D293" i="40"/>
  <c r="D294" i="40"/>
  <c r="D295" i="40"/>
  <c r="D296" i="40"/>
  <c r="D297" i="40"/>
  <c r="D298" i="40"/>
  <c r="D299" i="40"/>
  <c r="D300" i="40"/>
  <c r="D301" i="40"/>
  <c r="D302" i="40"/>
  <c r="D303" i="40"/>
  <c r="D304" i="40"/>
  <c r="D305" i="40"/>
  <c r="D306" i="40"/>
  <c r="D307" i="40"/>
  <c r="D308" i="40"/>
  <c r="D309" i="40"/>
  <c r="D310" i="40"/>
  <c r="D311" i="40"/>
  <c r="D312" i="40"/>
  <c r="D313" i="40"/>
  <c r="D314" i="40"/>
  <c r="D315" i="40"/>
  <c r="D316" i="40"/>
  <c r="D317" i="40"/>
  <c r="D318" i="40"/>
  <c r="D319" i="40"/>
  <c r="D320" i="40"/>
  <c r="D321" i="40"/>
  <c r="D322" i="40"/>
  <c r="D323" i="40"/>
  <c r="D324" i="40"/>
  <c r="D325" i="40"/>
  <c r="D326" i="40"/>
  <c r="D327" i="40"/>
  <c r="D328" i="40"/>
  <c r="D329" i="40"/>
  <c r="D330" i="40"/>
  <c r="D331" i="40"/>
  <c r="D332" i="40"/>
  <c r="D333" i="40"/>
  <c r="D334" i="40"/>
  <c r="D335" i="40"/>
  <c r="D336" i="40"/>
  <c r="D337" i="40"/>
  <c r="D338" i="40"/>
  <c r="D339" i="40"/>
  <c r="D340" i="40"/>
  <c r="D341" i="40"/>
  <c r="D342" i="40"/>
  <c r="D343" i="40"/>
  <c r="D344" i="40"/>
  <c r="D345" i="40"/>
  <c r="D346" i="40"/>
  <c r="D347" i="40"/>
  <c r="D348" i="40"/>
  <c r="D349" i="40"/>
  <c r="D350" i="40"/>
  <c r="D351" i="40"/>
  <c r="D352" i="40"/>
  <c r="D353" i="40"/>
  <c r="D354" i="40"/>
  <c r="D355" i="40"/>
  <c r="D356" i="40"/>
  <c r="D357" i="40"/>
  <c r="D358" i="40"/>
  <c r="D359" i="40"/>
  <c r="D360" i="40"/>
  <c r="D361" i="40"/>
  <c r="D362" i="40"/>
  <c r="D363" i="40"/>
  <c r="D364" i="40"/>
  <c r="D365" i="40"/>
  <c r="D366" i="40"/>
  <c r="D367" i="40"/>
  <c r="D368" i="40"/>
  <c r="D369" i="40"/>
  <c r="D370" i="40"/>
  <c r="D371" i="40"/>
  <c r="D372" i="40"/>
  <c r="D373" i="40"/>
  <c r="D374" i="40"/>
  <c r="D375" i="40"/>
  <c r="D376" i="40"/>
  <c r="D377" i="40"/>
  <c r="D378" i="40"/>
  <c r="D379" i="40"/>
  <c r="D380" i="40"/>
  <c r="D381" i="40"/>
  <c r="D382" i="40"/>
  <c r="D383" i="40"/>
  <c r="D384" i="40"/>
  <c r="D385" i="40"/>
  <c r="D386" i="40"/>
  <c r="D387" i="40"/>
  <c r="D388" i="40"/>
  <c r="D389" i="40"/>
  <c r="D390" i="40"/>
  <c r="D391" i="40"/>
  <c r="D392" i="40"/>
  <c r="D393" i="40"/>
  <c r="D394" i="40"/>
  <c r="D395" i="40"/>
  <c r="D396" i="40"/>
  <c r="D397" i="40"/>
  <c r="D398" i="40"/>
  <c r="D399" i="40"/>
  <c r="D400" i="40"/>
  <c r="D401" i="40"/>
  <c r="D402" i="40"/>
  <c r="D403" i="40"/>
  <c r="D404" i="40"/>
  <c r="D405" i="40"/>
  <c r="D406" i="40"/>
  <c r="D407" i="40"/>
  <c r="D408" i="40"/>
  <c r="D409" i="40"/>
  <c r="D410" i="40"/>
  <c r="D411" i="40"/>
  <c r="D412" i="40"/>
  <c r="D413" i="40"/>
  <c r="D414" i="40"/>
  <c r="D415" i="40"/>
  <c r="D416" i="40"/>
  <c r="D417" i="40"/>
  <c r="D418" i="40"/>
  <c r="D419" i="40"/>
  <c r="D420" i="40"/>
  <c r="D421" i="40"/>
  <c r="D422" i="40"/>
  <c r="D423" i="40"/>
  <c r="D424" i="40"/>
  <c r="D425" i="40"/>
  <c r="D426" i="40"/>
  <c r="D427" i="40"/>
  <c r="D428" i="40"/>
  <c r="D429" i="40"/>
  <c r="D430" i="40"/>
  <c r="D431" i="40"/>
  <c r="D432" i="40"/>
  <c r="D433" i="40"/>
  <c r="D434" i="40"/>
  <c r="D435" i="40"/>
  <c r="D436" i="40"/>
  <c r="D437" i="40"/>
  <c r="D438" i="40"/>
  <c r="D439" i="40"/>
  <c r="D440" i="40"/>
  <c r="D441" i="40"/>
  <c r="D442" i="40"/>
  <c r="D443" i="40"/>
  <c r="D444" i="40"/>
  <c r="D445" i="40"/>
  <c r="D446" i="40"/>
  <c r="D447" i="40"/>
  <c r="D448" i="40"/>
  <c r="D449" i="40"/>
  <c r="D450" i="40"/>
  <c r="D451" i="40"/>
  <c r="D452" i="40"/>
  <c r="D453" i="40"/>
  <c r="D454" i="40"/>
  <c r="D455" i="40"/>
  <c r="D456" i="40"/>
  <c r="D457" i="40"/>
  <c r="D458" i="40"/>
  <c r="D459" i="40"/>
  <c r="D260" i="40"/>
  <c r="D60" i="40"/>
  <c r="D61" i="40"/>
  <c r="D62" i="40"/>
  <c r="D63" i="40"/>
  <c r="D64" i="40"/>
  <c r="D65" i="40"/>
  <c r="D66" i="40"/>
  <c r="D67" i="40"/>
  <c r="D68" i="40"/>
  <c r="D69" i="40"/>
  <c r="D70" i="40"/>
  <c r="D71" i="40"/>
  <c r="D72" i="40"/>
  <c r="D73" i="40"/>
  <c r="D74" i="40"/>
  <c r="D75" i="40"/>
  <c r="D76" i="40"/>
  <c r="D77" i="40"/>
  <c r="D78" i="40"/>
  <c r="D79" i="40"/>
  <c r="D80" i="40"/>
  <c r="D81" i="40"/>
  <c r="D82" i="40"/>
  <c r="D83" i="40"/>
  <c r="D84" i="40"/>
  <c r="D85" i="40"/>
  <c r="D86" i="40"/>
  <c r="D87" i="40"/>
  <c r="D88" i="40"/>
  <c r="D89" i="40"/>
  <c r="D90" i="40"/>
  <c r="D91" i="40"/>
  <c r="D92" i="40"/>
  <c r="D93" i="40"/>
  <c r="D94" i="40"/>
  <c r="D95" i="40"/>
  <c r="D96" i="40"/>
  <c r="D97" i="40"/>
  <c r="D98" i="40"/>
  <c r="D99" i="40"/>
  <c r="D100" i="40"/>
  <c r="D101" i="40"/>
  <c r="D102" i="40"/>
  <c r="D103" i="40"/>
  <c r="D104" i="40"/>
  <c r="D105" i="40"/>
  <c r="D106" i="40"/>
  <c r="D107" i="40"/>
  <c r="D108" i="40"/>
  <c r="D109" i="40"/>
  <c r="D110" i="40"/>
  <c r="D111" i="40"/>
  <c r="D112" i="40"/>
  <c r="D113" i="40"/>
  <c r="D114" i="40"/>
  <c r="D115" i="40"/>
  <c r="D116" i="40"/>
  <c r="D117" i="40"/>
  <c r="D118" i="40"/>
  <c r="D119" i="40"/>
  <c r="D120" i="40"/>
  <c r="D121" i="40"/>
  <c r="D122" i="40"/>
  <c r="D123" i="40"/>
  <c r="D124" i="40"/>
  <c r="D125" i="40"/>
  <c r="D126" i="40"/>
  <c r="D127" i="40"/>
  <c r="D128" i="40"/>
  <c r="D129" i="40"/>
  <c r="D130" i="40"/>
  <c r="D131" i="40"/>
  <c r="D132" i="40"/>
  <c r="D133" i="40"/>
  <c r="D134" i="40"/>
  <c r="D135" i="40"/>
  <c r="D136" i="40"/>
  <c r="D137" i="40"/>
  <c r="D138" i="40"/>
  <c r="D139" i="40"/>
  <c r="D140" i="40"/>
  <c r="D141" i="40"/>
  <c r="D142" i="40"/>
  <c r="D143" i="40"/>
  <c r="D144" i="40"/>
  <c r="D145" i="40"/>
  <c r="D146" i="40"/>
  <c r="D147" i="40"/>
  <c r="D148" i="40"/>
  <c r="D149" i="40"/>
  <c r="D150" i="40"/>
  <c r="D151" i="40"/>
  <c r="D152" i="40"/>
  <c r="D153" i="40"/>
  <c r="D154" i="40"/>
  <c r="D155" i="40"/>
  <c r="D156" i="40"/>
  <c r="D157" i="40"/>
  <c r="D158" i="40"/>
  <c r="D159" i="40"/>
  <c r="D160" i="40"/>
  <c r="D161" i="40"/>
  <c r="D162" i="40"/>
  <c r="D163" i="40"/>
  <c r="D164" i="40"/>
  <c r="D165" i="40"/>
  <c r="D166" i="40"/>
  <c r="D167" i="40"/>
  <c r="D168" i="40"/>
  <c r="D169" i="40"/>
  <c r="D170" i="40"/>
  <c r="D171" i="40"/>
  <c r="D172" i="40"/>
  <c r="D173" i="40"/>
  <c r="D174" i="40"/>
  <c r="D175" i="40"/>
  <c r="D176" i="40"/>
  <c r="D177" i="40"/>
  <c r="D178" i="40"/>
  <c r="D179" i="40"/>
  <c r="D180" i="40"/>
  <c r="D181" i="40"/>
  <c r="D182" i="40"/>
  <c r="D183" i="40"/>
  <c r="D184" i="40"/>
  <c r="D185" i="40"/>
  <c r="D186" i="40"/>
  <c r="D187" i="40"/>
  <c r="D188" i="40"/>
  <c r="D189" i="40"/>
  <c r="D190" i="40"/>
  <c r="D191" i="40"/>
  <c r="D192" i="40"/>
  <c r="D193" i="40"/>
  <c r="D194" i="40"/>
  <c r="D195" i="40"/>
  <c r="D196" i="40"/>
  <c r="D197" i="40"/>
  <c r="D198" i="40"/>
  <c r="D199" i="40"/>
  <c r="D200" i="40"/>
  <c r="D201" i="40"/>
  <c r="D202" i="40"/>
  <c r="D203" i="40"/>
  <c r="D204" i="40"/>
  <c r="D205" i="40"/>
  <c r="D206" i="40"/>
  <c r="D207" i="40"/>
  <c r="D208" i="40"/>
  <c r="D209" i="40"/>
  <c r="D210" i="40"/>
  <c r="D211" i="40"/>
  <c r="D212" i="40"/>
  <c r="D213" i="40"/>
  <c r="D214" i="40"/>
  <c r="D215" i="40"/>
  <c r="D216" i="40"/>
  <c r="D217" i="40"/>
  <c r="D218" i="40"/>
  <c r="D219" i="40"/>
  <c r="D220" i="40"/>
  <c r="D221" i="40"/>
  <c r="D222" i="40"/>
  <c r="D223" i="40"/>
  <c r="D224" i="40"/>
  <c r="D225" i="40"/>
  <c r="D226" i="40"/>
  <c r="D227" i="40"/>
  <c r="D228" i="40"/>
  <c r="D229" i="40"/>
  <c r="D230" i="40"/>
  <c r="D231" i="40"/>
  <c r="D232" i="40"/>
  <c r="D233" i="40"/>
  <c r="D234" i="40"/>
  <c r="D235" i="40"/>
  <c r="D236" i="40"/>
  <c r="D237" i="40"/>
  <c r="D238" i="40"/>
  <c r="D239" i="40"/>
  <c r="D240" i="40"/>
  <c r="D241" i="40"/>
  <c r="D242" i="40"/>
  <c r="D243" i="40"/>
  <c r="D244" i="40"/>
  <c r="D245" i="40"/>
  <c r="D246" i="40"/>
  <c r="D247" i="40"/>
  <c r="D248" i="40"/>
  <c r="D249" i="40"/>
  <c r="D250" i="40"/>
  <c r="D251" i="40"/>
  <c r="D252" i="40"/>
  <c r="D253" i="40"/>
  <c r="D254" i="40"/>
  <c r="D255" i="40"/>
  <c r="D51" i="40"/>
  <c r="D52" i="40"/>
  <c r="D53" i="40"/>
  <c r="D54" i="40"/>
  <c r="D55" i="40"/>
  <c r="D56" i="40"/>
  <c r="D57" i="40"/>
  <c r="D58" i="40"/>
  <c r="D59" i="40"/>
  <c r="D49" i="40"/>
  <c r="B5" i="40"/>
  <c r="L17" i="40" s="1"/>
  <c r="B437" i="44"/>
  <c r="C437" i="44" s="1"/>
  <c r="D437" i="44" s="1"/>
  <c r="E437" i="44" s="1"/>
  <c r="F437" i="44" s="1"/>
  <c r="G437" i="44" s="1"/>
  <c r="H437" i="44" s="1"/>
  <c r="I437" i="44" s="1"/>
  <c r="J437" i="44" s="1"/>
  <c r="K437" i="44" s="1"/>
  <c r="L437" i="44" s="1"/>
  <c r="M437" i="44" s="1"/>
  <c r="N437" i="44" s="1"/>
  <c r="O437" i="44" s="1"/>
  <c r="P437" i="44" s="1"/>
  <c r="Q437" i="44" s="1"/>
  <c r="R437" i="44" s="1"/>
  <c r="S437" i="44" s="1"/>
  <c r="T437" i="44" s="1"/>
  <c r="U437" i="44" s="1"/>
  <c r="B437" i="45"/>
  <c r="C437" i="45" s="1"/>
  <c r="D437" i="45" s="1"/>
  <c r="E437" i="45" s="1"/>
  <c r="F437" i="45" s="1"/>
  <c r="G437" i="45" s="1"/>
  <c r="I437" i="45" s="1"/>
  <c r="J437" i="45" s="1"/>
  <c r="K437" i="45" s="1"/>
  <c r="L437" i="45" s="1"/>
  <c r="M437" i="45" s="1"/>
  <c r="N437" i="45" s="1"/>
  <c r="O437" i="45" s="1"/>
  <c r="P437" i="45" s="1"/>
  <c r="Q437" i="45" s="1"/>
  <c r="R437" i="45" s="1"/>
  <c r="S437" i="45" s="1"/>
  <c r="T437" i="45" s="1"/>
  <c r="U437" i="45" s="1"/>
  <c r="O475" i="40" l="1"/>
  <c r="K485" i="40"/>
  <c r="F14" i="40"/>
  <c r="M244" i="40"/>
  <c r="M228" i="40"/>
  <c r="M212" i="40"/>
  <c r="M196" i="40"/>
  <c r="M180" i="40"/>
  <c r="M158" i="40"/>
  <c r="M147" i="40"/>
  <c r="Q147" i="40" s="1"/>
  <c r="M49" i="40"/>
  <c r="M246" i="40"/>
  <c r="M253" i="40"/>
  <c r="M249" i="40"/>
  <c r="M245" i="40"/>
  <c r="M241" i="40"/>
  <c r="M237" i="40"/>
  <c r="M233" i="40"/>
  <c r="Q233" i="40" s="1"/>
  <c r="M229" i="40"/>
  <c r="M225" i="40"/>
  <c r="M221" i="40"/>
  <c r="M217" i="40"/>
  <c r="M213" i="40"/>
  <c r="M209" i="40"/>
  <c r="M205" i="40"/>
  <c r="M201" i="40"/>
  <c r="S201" i="40" s="1"/>
  <c r="M197" i="40"/>
  <c r="M193" i="40"/>
  <c r="M189" i="40"/>
  <c r="M185" i="40"/>
  <c r="S185" i="40" s="1"/>
  <c r="M181" i="40"/>
  <c r="M177" i="40"/>
  <c r="M173" i="40"/>
  <c r="M169" i="40"/>
  <c r="S169" i="40" s="1"/>
  <c r="M165" i="40"/>
  <c r="M159" i="40"/>
  <c r="M154" i="40"/>
  <c r="M149" i="40"/>
  <c r="Q149" i="40" s="1"/>
  <c r="M141" i="40"/>
  <c r="M133" i="40"/>
  <c r="M125" i="40"/>
  <c r="M117" i="40"/>
  <c r="S117" i="40" s="1"/>
  <c r="M109" i="40"/>
  <c r="M101" i="40"/>
  <c r="M93" i="40"/>
  <c r="M85" i="40"/>
  <c r="S85" i="40" s="1"/>
  <c r="M77" i="40"/>
  <c r="M69" i="40"/>
  <c r="M61" i="40"/>
  <c r="M53" i="40"/>
  <c r="Q53" i="40" s="1"/>
  <c r="M455" i="40"/>
  <c r="M447" i="40"/>
  <c r="M439" i="40"/>
  <c r="M431" i="40"/>
  <c r="Q431" i="40" s="1"/>
  <c r="M423" i="40"/>
  <c r="M415" i="40"/>
  <c r="M407" i="40"/>
  <c r="M399" i="40"/>
  <c r="S399" i="40" s="1"/>
  <c r="M391" i="40"/>
  <c r="M383" i="40"/>
  <c r="M375" i="40"/>
  <c r="M367" i="40"/>
  <c r="Q367" i="40" s="1"/>
  <c r="M359" i="40"/>
  <c r="M351" i="40"/>
  <c r="M343" i="40"/>
  <c r="M335" i="40"/>
  <c r="S335" i="40" s="1"/>
  <c r="M327" i="40"/>
  <c r="M317" i="40"/>
  <c r="M301" i="40"/>
  <c r="M285" i="40"/>
  <c r="S285" i="40" s="1"/>
  <c r="M269" i="40"/>
  <c r="L21" i="40"/>
  <c r="M252" i="40"/>
  <c r="M236" i="40"/>
  <c r="S236" i="40" s="1"/>
  <c r="M220" i="40"/>
  <c r="M204" i="40"/>
  <c r="M188" i="40"/>
  <c r="M172" i="40"/>
  <c r="Q172" i="40" s="1"/>
  <c r="M153" i="40"/>
  <c r="M131" i="40"/>
  <c r="M123" i="40"/>
  <c r="M115" i="40"/>
  <c r="S115" i="40" s="1"/>
  <c r="M107" i="40"/>
  <c r="M99" i="40"/>
  <c r="M91" i="40"/>
  <c r="M83" i="40"/>
  <c r="S83" i="40" s="1"/>
  <c r="M75" i="40"/>
  <c r="M67" i="40"/>
  <c r="M59" i="40"/>
  <c r="M51" i="40"/>
  <c r="Q51" i="40" s="1"/>
  <c r="M453" i="40"/>
  <c r="M445" i="40"/>
  <c r="M437" i="40"/>
  <c r="M429" i="40"/>
  <c r="S429" i="40" s="1"/>
  <c r="M421" i="40"/>
  <c r="M413" i="40"/>
  <c r="M405" i="40"/>
  <c r="M397" i="40"/>
  <c r="Q397" i="40" s="1"/>
  <c r="M389" i="40"/>
  <c r="M381" i="40"/>
  <c r="M373" i="40"/>
  <c r="M365" i="40"/>
  <c r="S365" i="40" s="1"/>
  <c r="M357" i="40"/>
  <c r="M349" i="40"/>
  <c r="M341" i="40"/>
  <c r="M333" i="40"/>
  <c r="M325" i="40"/>
  <c r="M313" i="40"/>
  <c r="M297" i="40"/>
  <c r="M281" i="40"/>
  <c r="M265" i="40"/>
  <c r="F31" i="40"/>
  <c r="L31" i="40"/>
  <c r="O31" i="40" s="1"/>
  <c r="L32" i="40"/>
  <c r="O32" i="40" s="1"/>
  <c r="L36" i="40"/>
  <c r="O36" i="40" s="1"/>
  <c r="L26" i="40"/>
  <c r="L18" i="40"/>
  <c r="L22" i="40"/>
  <c r="L14" i="40"/>
  <c r="M262" i="40"/>
  <c r="M266" i="40"/>
  <c r="M270" i="40"/>
  <c r="S270" i="40" s="1"/>
  <c r="M274" i="40"/>
  <c r="M278" i="40"/>
  <c r="M282" i="40"/>
  <c r="M286" i="40"/>
  <c r="Q286" i="40" s="1"/>
  <c r="M290" i="40"/>
  <c r="M294" i="40"/>
  <c r="M298" i="40"/>
  <c r="M302" i="40"/>
  <c r="S302" i="40" s="1"/>
  <c r="M306" i="40"/>
  <c r="M310" i="40"/>
  <c r="M314" i="40"/>
  <c r="M318" i="40"/>
  <c r="S318" i="40" s="1"/>
  <c r="M322" i="40"/>
  <c r="M326" i="40"/>
  <c r="M330" i="40"/>
  <c r="M334" i="40"/>
  <c r="S334" i="40" s="1"/>
  <c r="M338" i="40"/>
  <c r="M342" i="40"/>
  <c r="M346" i="40"/>
  <c r="M350" i="40"/>
  <c r="S350" i="40" s="1"/>
  <c r="M354" i="40"/>
  <c r="M358" i="40"/>
  <c r="M362" i="40"/>
  <c r="M366" i="40"/>
  <c r="S366" i="40" s="1"/>
  <c r="M370" i="40"/>
  <c r="M374" i="40"/>
  <c r="M378" i="40"/>
  <c r="M382" i="40"/>
  <c r="S382" i="40" s="1"/>
  <c r="M386" i="40"/>
  <c r="M390" i="40"/>
  <c r="M394" i="40"/>
  <c r="M398" i="40"/>
  <c r="S398" i="40" s="1"/>
  <c r="M402" i="40"/>
  <c r="M406" i="40"/>
  <c r="M410" i="40"/>
  <c r="M414" i="40"/>
  <c r="M418" i="40"/>
  <c r="M422" i="40"/>
  <c r="M426" i="40"/>
  <c r="M430" i="40"/>
  <c r="S430" i="40" s="1"/>
  <c r="M434" i="40"/>
  <c r="M438" i="40"/>
  <c r="M442" i="40"/>
  <c r="M446" i="40"/>
  <c r="S446" i="40" s="1"/>
  <c r="M450" i="40"/>
  <c r="M454" i="40"/>
  <c r="M458" i="40"/>
  <c r="M52" i="40"/>
  <c r="S52" i="40" s="1"/>
  <c r="M56" i="40"/>
  <c r="M60" i="40"/>
  <c r="M64" i="40"/>
  <c r="M68" i="40"/>
  <c r="S68" i="40" s="1"/>
  <c r="M72" i="40"/>
  <c r="M76" i="40"/>
  <c r="M80" i="40"/>
  <c r="M84" i="40"/>
  <c r="S84" i="40" s="1"/>
  <c r="M88" i="40"/>
  <c r="M92" i="40"/>
  <c r="M96" i="40"/>
  <c r="M100" i="40"/>
  <c r="S100" i="40" s="1"/>
  <c r="M104" i="40"/>
  <c r="M108" i="40"/>
  <c r="M112" i="40"/>
  <c r="M116" i="40"/>
  <c r="S116" i="40" s="1"/>
  <c r="M120" i="40"/>
  <c r="M124" i="40"/>
  <c r="M128" i="40"/>
  <c r="M132" i="40"/>
  <c r="S132" i="40" s="1"/>
  <c r="M136" i="40"/>
  <c r="M140" i="40"/>
  <c r="M144" i="40"/>
  <c r="M148" i="40"/>
  <c r="S148" i="40" s="1"/>
  <c r="M152" i="40"/>
  <c r="M156" i="40"/>
  <c r="M160" i="40"/>
  <c r="M164" i="40"/>
  <c r="Q164" i="40" s="1"/>
  <c r="L33" i="40"/>
  <c r="O33" i="40" s="1"/>
  <c r="L37" i="40"/>
  <c r="O37" i="40" s="1"/>
  <c r="L15" i="40"/>
  <c r="L19" i="40"/>
  <c r="L23" i="40"/>
  <c r="M263" i="40"/>
  <c r="M267" i="40"/>
  <c r="M271" i="40"/>
  <c r="M275" i="40"/>
  <c r="M279" i="40"/>
  <c r="M283" i="40"/>
  <c r="M287" i="40"/>
  <c r="M291" i="40"/>
  <c r="M295" i="40"/>
  <c r="M299" i="40"/>
  <c r="M303" i="40"/>
  <c r="M307" i="40"/>
  <c r="M311" i="40"/>
  <c r="M315" i="40"/>
  <c r="M319" i="40"/>
  <c r="L34" i="40"/>
  <c r="O34" i="40" s="1"/>
  <c r="L38" i="40"/>
  <c r="O38" i="40" s="1"/>
  <c r="L16" i="40"/>
  <c r="L20" i="40"/>
  <c r="L24" i="40"/>
  <c r="M459" i="40"/>
  <c r="M264" i="40"/>
  <c r="M268" i="40"/>
  <c r="S268" i="40" s="1"/>
  <c r="M272" i="40"/>
  <c r="M276" i="40"/>
  <c r="M280" i="40"/>
  <c r="M284" i="40"/>
  <c r="Q284" i="40" s="1"/>
  <c r="M288" i="40"/>
  <c r="M292" i="40"/>
  <c r="M296" i="40"/>
  <c r="M300" i="40"/>
  <c r="S300" i="40" s="1"/>
  <c r="M304" i="40"/>
  <c r="M308" i="40"/>
  <c r="M312" i="40"/>
  <c r="M316" i="40"/>
  <c r="M320" i="40"/>
  <c r="M324" i="40"/>
  <c r="M328" i="40"/>
  <c r="M332" i="40"/>
  <c r="M336" i="40"/>
  <c r="M340" i="40"/>
  <c r="M344" i="40"/>
  <c r="M348" i="40"/>
  <c r="M352" i="40"/>
  <c r="M356" i="40"/>
  <c r="M360" i="40"/>
  <c r="M364" i="40"/>
  <c r="M368" i="40"/>
  <c r="M372" i="40"/>
  <c r="M376" i="40"/>
  <c r="M380" i="40"/>
  <c r="M384" i="40"/>
  <c r="M388" i="40"/>
  <c r="M392" i="40"/>
  <c r="M396" i="40"/>
  <c r="M400" i="40"/>
  <c r="M404" i="40"/>
  <c r="M408" i="40"/>
  <c r="M412" i="40"/>
  <c r="M416" i="40"/>
  <c r="S416" i="40" s="1"/>
  <c r="M420" i="40"/>
  <c r="M424" i="40"/>
  <c r="M428" i="40"/>
  <c r="M432" i="40"/>
  <c r="M436" i="40"/>
  <c r="M440" i="40"/>
  <c r="M444" i="40"/>
  <c r="M448" i="40"/>
  <c r="M452" i="40"/>
  <c r="M456" i="40"/>
  <c r="M50" i="40"/>
  <c r="M54" i="40"/>
  <c r="M58" i="40"/>
  <c r="M62" i="40"/>
  <c r="M66" i="40"/>
  <c r="M70" i="40"/>
  <c r="Q70" i="40" s="1"/>
  <c r="M74" i="40"/>
  <c r="M78" i="40"/>
  <c r="M82" i="40"/>
  <c r="M86" i="40"/>
  <c r="M90" i="40"/>
  <c r="M94" i="40"/>
  <c r="M98" i="40"/>
  <c r="M102" i="40"/>
  <c r="S102" i="40" s="1"/>
  <c r="M106" i="40"/>
  <c r="M110" i="40"/>
  <c r="M114" i="40"/>
  <c r="M118" i="40"/>
  <c r="M122" i="40"/>
  <c r="M126" i="40"/>
  <c r="M130" i="40"/>
  <c r="M134" i="40"/>
  <c r="Q134" i="40" s="1"/>
  <c r="M138" i="40"/>
  <c r="M142" i="40"/>
  <c r="M146" i="40"/>
  <c r="Q146" i="40" s="1"/>
  <c r="M240" i="40"/>
  <c r="M224" i="40"/>
  <c r="M208" i="40"/>
  <c r="M192" i="40"/>
  <c r="Q192" i="40" s="1"/>
  <c r="M176" i="40"/>
  <c r="M163" i="40"/>
  <c r="M139" i="40"/>
  <c r="L49" i="40"/>
  <c r="N2" i="43" s="1"/>
  <c r="M255" i="40"/>
  <c r="M251" i="40"/>
  <c r="M247" i="40"/>
  <c r="M243" i="40"/>
  <c r="M239" i="40"/>
  <c r="S239" i="40" s="1"/>
  <c r="M235" i="40"/>
  <c r="M231" i="40"/>
  <c r="M227" i="40"/>
  <c r="M223" i="40"/>
  <c r="M219" i="40"/>
  <c r="M215" i="40"/>
  <c r="M211" i="40"/>
  <c r="M207" i="40"/>
  <c r="Q207" i="40" s="1"/>
  <c r="M203" i="40"/>
  <c r="M199" i="40"/>
  <c r="M195" i="40"/>
  <c r="M191" i="40"/>
  <c r="M187" i="40"/>
  <c r="M183" i="40"/>
  <c r="M179" i="40"/>
  <c r="M175" i="40"/>
  <c r="Q175" i="40" s="1"/>
  <c r="M171" i="40"/>
  <c r="M167" i="40"/>
  <c r="M162" i="40"/>
  <c r="M157" i="40"/>
  <c r="M151" i="40"/>
  <c r="M145" i="40"/>
  <c r="M137" i="40"/>
  <c r="M129" i="40"/>
  <c r="S129" i="40" s="1"/>
  <c r="M121" i="40"/>
  <c r="M113" i="40"/>
  <c r="M105" i="40"/>
  <c r="M97" i="40"/>
  <c r="S97" i="40" s="1"/>
  <c r="M89" i="40"/>
  <c r="M81" i="40"/>
  <c r="M73" i="40"/>
  <c r="M65" i="40"/>
  <c r="S65" i="40" s="1"/>
  <c r="M57" i="40"/>
  <c r="M260" i="40"/>
  <c r="M451" i="40"/>
  <c r="M443" i="40"/>
  <c r="S443" i="40" s="1"/>
  <c r="M435" i="40"/>
  <c r="M427" i="40"/>
  <c r="M419" i="40"/>
  <c r="M411" i="40"/>
  <c r="M403" i="40"/>
  <c r="M395" i="40"/>
  <c r="M387" i="40"/>
  <c r="M379" i="40"/>
  <c r="M371" i="40"/>
  <c r="M363" i="40"/>
  <c r="M355" i="40"/>
  <c r="M347" i="40"/>
  <c r="S347" i="40" s="1"/>
  <c r="M339" i="40"/>
  <c r="M331" i="40"/>
  <c r="M323" i="40"/>
  <c r="M309" i="40"/>
  <c r="Q309" i="40" s="1"/>
  <c r="M293" i="40"/>
  <c r="M277" i="40"/>
  <c r="M261" i="40"/>
  <c r="L30" i="40"/>
  <c r="O30" i="40" s="1"/>
  <c r="M248" i="40"/>
  <c r="M232" i="40"/>
  <c r="M216" i="40"/>
  <c r="Q216" i="40" s="1"/>
  <c r="M200" i="40"/>
  <c r="M184" i="40"/>
  <c r="M168" i="40"/>
  <c r="M254" i="40"/>
  <c r="M250" i="40"/>
  <c r="Q250" i="40" s="1"/>
  <c r="M242" i="40"/>
  <c r="M238" i="40"/>
  <c r="M234" i="40"/>
  <c r="M230" i="40"/>
  <c r="M226" i="40"/>
  <c r="M222" i="40"/>
  <c r="M218" i="40"/>
  <c r="Q218" i="40" s="1"/>
  <c r="M214" i="40"/>
  <c r="M210" i="40"/>
  <c r="M206" i="40"/>
  <c r="M202" i="40"/>
  <c r="M198" i="40"/>
  <c r="S198" i="40" s="1"/>
  <c r="M194" i="40"/>
  <c r="M190" i="40"/>
  <c r="M186" i="40"/>
  <c r="M182" i="40"/>
  <c r="S182" i="40" s="1"/>
  <c r="M178" i="40"/>
  <c r="M174" i="40"/>
  <c r="M170" i="40"/>
  <c r="M166" i="40"/>
  <c r="M161" i="40"/>
  <c r="M155" i="40"/>
  <c r="M150" i="40"/>
  <c r="Q150" i="40" s="1"/>
  <c r="M143" i="40"/>
  <c r="M135" i="40"/>
  <c r="M127" i="40"/>
  <c r="M119" i="40"/>
  <c r="M111" i="40"/>
  <c r="M103" i="40"/>
  <c r="M95" i="40"/>
  <c r="M87" i="40"/>
  <c r="M79" i="40"/>
  <c r="S79" i="40" s="1"/>
  <c r="M71" i="40"/>
  <c r="M63" i="40"/>
  <c r="M55" i="40"/>
  <c r="M457" i="40"/>
  <c r="M449" i="40"/>
  <c r="M441" i="40"/>
  <c r="M433" i="40"/>
  <c r="M425" i="40"/>
  <c r="M417" i="40"/>
  <c r="M409" i="40"/>
  <c r="M401" i="40"/>
  <c r="M393" i="40"/>
  <c r="M385" i="40"/>
  <c r="M377" i="40"/>
  <c r="M369" i="40"/>
  <c r="M361" i="40"/>
  <c r="M353" i="40"/>
  <c r="M345" i="40"/>
  <c r="M337" i="40"/>
  <c r="M329" i="40"/>
  <c r="M321" i="40"/>
  <c r="M305" i="40"/>
  <c r="M289" i="40"/>
  <c r="M273" i="40"/>
  <c r="Q273" i="40" s="1"/>
  <c r="L25" i="40"/>
  <c r="L35" i="40"/>
  <c r="O35" i="40" s="1"/>
  <c r="F24" i="40"/>
  <c r="F20" i="40"/>
  <c r="F16" i="40"/>
  <c r="F37" i="40"/>
  <c r="F33" i="40"/>
  <c r="F21" i="40"/>
  <c r="F38" i="40"/>
  <c r="F23" i="40"/>
  <c r="F19" i="40"/>
  <c r="G19" i="40" s="1"/>
  <c r="F15" i="40"/>
  <c r="F36" i="40"/>
  <c r="F32" i="40"/>
  <c r="F25" i="40"/>
  <c r="F17" i="40"/>
  <c r="F34" i="40"/>
  <c r="F26" i="40"/>
  <c r="F22" i="40"/>
  <c r="F18" i="40"/>
  <c r="F30" i="40"/>
  <c r="F35" i="40"/>
  <c r="L261" i="40"/>
  <c r="N210" i="43" s="1"/>
  <c r="L265" i="40"/>
  <c r="N214" i="43" s="1"/>
  <c r="L269" i="40"/>
  <c r="N218" i="43" s="1"/>
  <c r="L273" i="40"/>
  <c r="N222" i="43" s="1"/>
  <c r="L277" i="40"/>
  <c r="N226" i="43" s="1"/>
  <c r="L281" i="40"/>
  <c r="N230" i="43" s="1"/>
  <c r="L285" i="40"/>
  <c r="N234" i="43" s="1"/>
  <c r="L289" i="40"/>
  <c r="N238" i="43" s="1"/>
  <c r="L293" i="40"/>
  <c r="N242" i="43" s="1"/>
  <c r="L297" i="40"/>
  <c r="N246" i="43" s="1"/>
  <c r="L301" i="40"/>
  <c r="N250" i="43" s="1"/>
  <c r="L305" i="40"/>
  <c r="N254" i="43" s="1"/>
  <c r="L309" i="40"/>
  <c r="N258" i="43" s="1"/>
  <c r="L313" i="40"/>
  <c r="N262" i="43" s="1"/>
  <c r="L317" i="40"/>
  <c r="N266" i="43" s="1"/>
  <c r="L321" i="40"/>
  <c r="N270" i="43" s="1"/>
  <c r="L325" i="40"/>
  <c r="N274" i="43" s="1"/>
  <c r="L329" i="40"/>
  <c r="N278" i="43" s="1"/>
  <c r="L333" i="40"/>
  <c r="N282" i="43" s="1"/>
  <c r="L337" i="40"/>
  <c r="N286" i="43" s="1"/>
  <c r="L341" i="40"/>
  <c r="N290" i="43" s="1"/>
  <c r="L345" i="40"/>
  <c r="N294" i="43" s="1"/>
  <c r="L349" i="40"/>
  <c r="N298" i="43" s="1"/>
  <c r="L353" i="40"/>
  <c r="N302" i="43" s="1"/>
  <c r="L357" i="40"/>
  <c r="N306" i="43" s="1"/>
  <c r="L361" i="40"/>
  <c r="N310" i="43" s="1"/>
  <c r="L365" i="40"/>
  <c r="N314" i="43" s="1"/>
  <c r="L369" i="40"/>
  <c r="N318" i="43" s="1"/>
  <c r="L373" i="40"/>
  <c r="L377" i="40"/>
  <c r="N326" i="43" s="1"/>
  <c r="L381" i="40"/>
  <c r="N330" i="43" s="1"/>
  <c r="L385" i="40"/>
  <c r="N334" i="43" s="1"/>
  <c r="L389" i="40"/>
  <c r="N338" i="43" s="1"/>
  <c r="L393" i="40"/>
  <c r="N342" i="43" s="1"/>
  <c r="L397" i="40"/>
  <c r="N346" i="43" s="1"/>
  <c r="L401" i="40"/>
  <c r="N350" i="43" s="1"/>
  <c r="L405" i="40"/>
  <c r="L409" i="40"/>
  <c r="N358" i="43" s="1"/>
  <c r="L413" i="40"/>
  <c r="N362" i="43" s="1"/>
  <c r="L417" i="40"/>
  <c r="N366" i="43" s="1"/>
  <c r="L421" i="40"/>
  <c r="N370" i="43" s="1"/>
  <c r="L425" i="40"/>
  <c r="N374" i="43" s="1"/>
  <c r="L429" i="40"/>
  <c r="N378" i="43" s="1"/>
  <c r="L433" i="40"/>
  <c r="N382" i="43" s="1"/>
  <c r="L437" i="40"/>
  <c r="N386" i="43" s="1"/>
  <c r="L441" i="40"/>
  <c r="N390" i="43" s="1"/>
  <c r="L445" i="40"/>
  <c r="N394" i="43" s="1"/>
  <c r="L449" i="40"/>
  <c r="N398" i="43" s="1"/>
  <c r="L453" i="40"/>
  <c r="L457" i="40"/>
  <c r="N406" i="43" s="1"/>
  <c r="L50" i="40"/>
  <c r="N3" i="43" s="1"/>
  <c r="L54" i="40"/>
  <c r="N7" i="43" s="1"/>
  <c r="L58" i="40"/>
  <c r="N11" i="43" s="1"/>
  <c r="L62" i="40"/>
  <c r="N15" i="43" s="1"/>
  <c r="L66" i="40"/>
  <c r="N19" i="43" s="1"/>
  <c r="L70" i="40"/>
  <c r="N23" i="43" s="1"/>
  <c r="L74" i="40"/>
  <c r="N27" i="43" s="1"/>
  <c r="L78" i="40"/>
  <c r="N31" i="43" s="1"/>
  <c r="L82" i="40"/>
  <c r="N35" i="43" s="1"/>
  <c r="L86" i="40"/>
  <c r="N39" i="43" s="1"/>
  <c r="L90" i="40"/>
  <c r="L94" i="40"/>
  <c r="N47" i="43" s="1"/>
  <c r="L98" i="40"/>
  <c r="N51" i="43" s="1"/>
  <c r="L102" i="40"/>
  <c r="N55" i="43" s="1"/>
  <c r="L106" i="40"/>
  <c r="N59" i="43" s="1"/>
  <c r="L110" i="40"/>
  <c r="N63" i="43" s="1"/>
  <c r="L114" i="40"/>
  <c r="N67" i="43" s="1"/>
  <c r="L118" i="40"/>
  <c r="N71" i="43" s="1"/>
  <c r="L122" i="40"/>
  <c r="N75" i="43" s="1"/>
  <c r="L126" i="40"/>
  <c r="N79" i="43" s="1"/>
  <c r="L130" i="40"/>
  <c r="N83" i="43" s="1"/>
  <c r="L134" i="40"/>
  <c r="N87" i="43" s="1"/>
  <c r="L138" i="40"/>
  <c r="N91" i="43" s="1"/>
  <c r="L142" i="40"/>
  <c r="N95" i="43" s="1"/>
  <c r="L146" i="40"/>
  <c r="N99" i="43" s="1"/>
  <c r="L150" i="40"/>
  <c r="N103" i="43" s="1"/>
  <c r="L154" i="40"/>
  <c r="N107" i="43" s="1"/>
  <c r="L158" i="40"/>
  <c r="N111" i="43" s="1"/>
  <c r="L162" i="40"/>
  <c r="N115" i="43" s="1"/>
  <c r="L166" i="40"/>
  <c r="N119" i="43" s="1"/>
  <c r="L170" i="40"/>
  <c r="N123" i="43" s="1"/>
  <c r="L174" i="40"/>
  <c r="N127" i="43" s="1"/>
  <c r="L178" i="40"/>
  <c r="N131" i="43" s="1"/>
  <c r="L182" i="40"/>
  <c r="N135" i="43" s="1"/>
  <c r="L186" i="40"/>
  <c r="N139" i="43" s="1"/>
  <c r="L262" i="40"/>
  <c r="N211" i="43" s="1"/>
  <c r="L266" i="40"/>
  <c r="N215" i="43" s="1"/>
  <c r="L270" i="40"/>
  <c r="N219" i="43" s="1"/>
  <c r="L274" i="40"/>
  <c r="N223" i="43" s="1"/>
  <c r="L278" i="40"/>
  <c r="N227" i="43" s="1"/>
  <c r="L282" i="40"/>
  <c r="N231" i="43" s="1"/>
  <c r="L286" i="40"/>
  <c r="N235" i="43" s="1"/>
  <c r="L290" i="40"/>
  <c r="N239" i="43" s="1"/>
  <c r="L294" i="40"/>
  <c r="N243" i="43" s="1"/>
  <c r="L298" i="40"/>
  <c r="N247" i="43" s="1"/>
  <c r="L302" i="40"/>
  <c r="L306" i="40"/>
  <c r="N255" i="43" s="1"/>
  <c r="L310" i="40"/>
  <c r="N259" i="43" s="1"/>
  <c r="L314" i="40"/>
  <c r="N263" i="43" s="1"/>
  <c r="L318" i="40"/>
  <c r="N267" i="43" s="1"/>
  <c r="L322" i="40"/>
  <c r="N271" i="43" s="1"/>
  <c r="L326" i="40"/>
  <c r="N275" i="43" s="1"/>
  <c r="L330" i="40"/>
  <c r="N279" i="43" s="1"/>
  <c r="L334" i="40"/>
  <c r="N283" i="43" s="1"/>
  <c r="L338" i="40"/>
  <c r="N287" i="43" s="1"/>
  <c r="L342" i="40"/>
  <c r="N291" i="43" s="1"/>
  <c r="L346" i="40"/>
  <c r="N295" i="43" s="1"/>
  <c r="L350" i="40"/>
  <c r="N299" i="43" s="1"/>
  <c r="L354" i="40"/>
  <c r="N303" i="43" s="1"/>
  <c r="L358" i="40"/>
  <c r="N307" i="43" s="1"/>
  <c r="L362" i="40"/>
  <c r="N311" i="43" s="1"/>
  <c r="L366" i="40"/>
  <c r="N315" i="43" s="1"/>
  <c r="L370" i="40"/>
  <c r="N319" i="43" s="1"/>
  <c r="L374" i="40"/>
  <c r="L378" i="40"/>
  <c r="N327" i="43" s="1"/>
  <c r="L382" i="40"/>
  <c r="N331" i="43" s="1"/>
  <c r="L386" i="40"/>
  <c r="N335" i="43" s="1"/>
  <c r="L390" i="40"/>
  <c r="N339" i="43" s="1"/>
  <c r="L394" i="40"/>
  <c r="N343" i="43" s="1"/>
  <c r="L398" i="40"/>
  <c r="N347" i="43" s="1"/>
  <c r="L402" i="40"/>
  <c r="N351" i="43" s="1"/>
  <c r="L406" i="40"/>
  <c r="N355" i="43" s="1"/>
  <c r="L410" i="40"/>
  <c r="N359" i="43" s="1"/>
  <c r="L414" i="40"/>
  <c r="N363" i="43" s="1"/>
  <c r="L418" i="40"/>
  <c r="N367" i="43" s="1"/>
  <c r="L422" i="40"/>
  <c r="N371" i="43" s="1"/>
  <c r="L426" i="40"/>
  <c r="N375" i="43" s="1"/>
  <c r="L430" i="40"/>
  <c r="N379" i="43" s="1"/>
  <c r="L434" i="40"/>
  <c r="N383" i="43" s="1"/>
  <c r="L438" i="40"/>
  <c r="N387" i="43" s="1"/>
  <c r="L442" i="40"/>
  <c r="N391" i="43" s="1"/>
  <c r="L446" i="40"/>
  <c r="N395" i="43" s="1"/>
  <c r="L450" i="40"/>
  <c r="N399" i="43" s="1"/>
  <c r="L454" i="40"/>
  <c r="N403" i="43" s="1"/>
  <c r="L458" i="40"/>
  <c r="N407" i="43" s="1"/>
  <c r="L51" i="40"/>
  <c r="N4" i="43" s="1"/>
  <c r="L55" i="40"/>
  <c r="N8" i="43" s="1"/>
  <c r="L59" i="40"/>
  <c r="N12" i="43" s="1"/>
  <c r="L63" i="40"/>
  <c r="N16" i="43" s="1"/>
  <c r="L67" i="40"/>
  <c r="N20" i="43" s="1"/>
  <c r="L71" i="40"/>
  <c r="N24" i="43" s="1"/>
  <c r="L75" i="40"/>
  <c r="N28" i="43" s="1"/>
  <c r="L79" i="40"/>
  <c r="N32" i="43" s="1"/>
  <c r="L83" i="40"/>
  <c r="N36" i="43" s="1"/>
  <c r="L87" i="40"/>
  <c r="N40" i="43" s="1"/>
  <c r="L91" i="40"/>
  <c r="N44" i="43" s="1"/>
  <c r="L95" i="40"/>
  <c r="N48" i="43" s="1"/>
  <c r="L99" i="40"/>
  <c r="N52" i="43" s="1"/>
  <c r="L103" i="40"/>
  <c r="N56" i="43" s="1"/>
  <c r="L107" i="40"/>
  <c r="N60" i="43" s="1"/>
  <c r="L111" i="40"/>
  <c r="N64" i="43" s="1"/>
  <c r="L115" i="40"/>
  <c r="N68" i="43" s="1"/>
  <c r="L119" i="40"/>
  <c r="N72" i="43" s="1"/>
  <c r="L123" i="40"/>
  <c r="N76" i="43" s="1"/>
  <c r="L127" i="40"/>
  <c r="N80" i="43" s="1"/>
  <c r="L131" i="40"/>
  <c r="N84" i="43" s="1"/>
  <c r="L135" i="40"/>
  <c r="N88" i="43" s="1"/>
  <c r="L139" i="40"/>
  <c r="N92" i="43" s="1"/>
  <c r="L143" i="40"/>
  <c r="N96" i="43" s="1"/>
  <c r="L147" i="40"/>
  <c r="N100" i="43" s="1"/>
  <c r="L151" i="40"/>
  <c r="N104" i="43" s="1"/>
  <c r="L155" i="40"/>
  <c r="N108" i="43" s="1"/>
  <c r="L159" i="40"/>
  <c r="N112" i="43" s="1"/>
  <c r="L163" i="40"/>
  <c r="N116" i="43" s="1"/>
  <c r="L167" i="40"/>
  <c r="N120" i="43" s="1"/>
  <c r="L171" i="40"/>
  <c r="N124" i="43" s="1"/>
  <c r="L175" i="40"/>
  <c r="N128" i="43" s="1"/>
  <c r="L179" i="40"/>
  <c r="N132" i="43" s="1"/>
  <c r="L263" i="40"/>
  <c r="N212" i="43" s="1"/>
  <c r="L267" i="40"/>
  <c r="N216" i="43" s="1"/>
  <c r="L271" i="40"/>
  <c r="N220" i="43" s="1"/>
  <c r="L275" i="40"/>
  <c r="N224" i="43" s="1"/>
  <c r="L279" i="40"/>
  <c r="N228" i="43" s="1"/>
  <c r="L283" i="40"/>
  <c r="N232" i="43" s="1"/>
  <c r="L287" i="40"/>
  <c r="N236" i="43" s="1"/>
  <c r="L291" i="40"/>
  <c r="N240" i="43" s="1"/>
  <c r="L295" i="40"/>
  <c r="N244" i="43" s="1"/>
  <c r="L299" i="40"/>
  <c r="N248" i="43" s="1"/>
  <c r="L303" i="40"/>
  <c r="N252" i="43" s="1"/>
  <c r="L307" i="40"/>
  <c r="L311" i="40"/>
  <c r="N260" i="43" s="1"/>
  <c r="L315" i="40"/>
  <c r="N264" i="43" s="1"/>
  <c r="L319" i="40"/>
  <c r="N268" i="43" s="1"/>
  <c r="L323" i="40"/>
  <c r="N272" i="43" s="1"/>
  <c r="L327" i="40"/>
  <c r="N276" i="43" s="1"/>
  <c r="L331" i="40"/>
  <c r="N280" i="43" s="1"/>
  <c r="L335" i="40"/>
  <c r="N284" i="43" s="1"/>
  <c r="L339" i="40"/>
  <c r="N288" i="43" s="1"/>
  <c r="L343" i="40"/>
  <c r="N292" i="43" s="1"/>
  <c r="L347" i="40"/>
  <c r="N296" i="43" s="1"/>
  <c r="L351" i="40"/>
  <c r="N300" i="43" s="1"/>
  <c r="L355" i="40"/>
  <c r="N304" i="43" s="1"/>
  <c r="L359" i="40"/>
  <c r="N308" i="43" s="1"/>
  <c r="L363" i="40"/>
  <c r="N312" i="43" s="1"/>
  <c r="L367" i="40"/>
  <c r="N316" i="43" s="1"/>
  <c r="L371" i="40"/>
  <c r="N320" i="43" s="1"/>
  <c r="L375" i="40"/>
  <c r="L379" i="40"/>
  <c r="N328" i="43" s="1"/>
  <c r="L383" i="40"/>
  <c r="N332" i="43" s="1"/>
  <c r="L387" i="40"/>
  <c r="N336" i="43" s="1"/>
  <c r="L391" i="40"/>
  <c r="N340" i="43" s="1"/>
  <c r="L395" i="40"/>
  <c r="L399" i="40"/>
  <c r="N348" i="43" s="1"/>
  <c r="L403" i="40"/>
  <c r="N352" i="43" s="1"/>
  <c r="L407" i="40"/>
  <c r="N356" i="43" s="1"/>
  <c r="L411" i="40"/>
  <c r="L415" i="40"/>
  <c r="N364" i="43" s="1"/>
  <c r="L419" i="40"/>
  <c r="N368" i="43" s="1"/>
  <c r="L423" i="40"/>
  <c r="N372" i="43" s="1"/>
  <c r="L427" i="40"/>
  <c r="N376" i="43" s="1"/>
  <c r="L431" i="40"/>
  <c r="N380" i="43" s="1"/>
  <c r="L435" i="40"/>
  <c r="N384" i="43" s="1"/>
  <c r="L439" i="40"/>
  <c r="N388" i="43" s="1"/>
  <c r="L443" i="40"/>
  <c r="N392" i="43" s="1"/>
  <c r="L447" i="40"/>
  <c r="N396" i="43" s="1"/>
  <c r="L451" i="40"/>
  <c r="N400" i="43" s="1"/>
  <c r="L455" i="40"/>
  <c r="N404" i="43" s="1"/>
  <c r="L459" i="40"/>
  <c r="N408" i="43" s="1"/>
  <c r="L52" i="40"/>
  <c r="N5" i="43" s="1"/>
  <c r="L56" i="40"/>
  <c r="N9" i="43" s="1"/>
  <c r="L60" i="40"/>
  <c r="N13" i="43" s="1"/>
  <c r="L64" i="40"/>
  <c r="N17" i="43" s="1"/>
  <c r="L68" i="40"/>
  <c r="N21" i="43" s="1"/>
  <c r="L72" i="40"/>
  <c r="N25" i="43" s="1"/>
  <c r="L76" i="40"/>
  <c r="N29" i="43" s="1"/>
  <c r="L80" i="40"/>
  <c r="N33" i="43" s="1"/>
  <c r="L84" i="40"/>
  <c r="N37" i="43" s="1"/>
  <c r="L88" i="40"/>
  <c r="N41" i="43" s="1"/>
  <c r="L92" i="40"/>
  <c r="N45" i="43" s="1"/>
  <c r="L96" i="40"/>
  <c r="N49" i="43" s="1"/>
  <c r="L100" i="40"/>
  <c r="N53" i="43" s="1"/>
  <c r="L104" i="40"/>
  <c r="N57" i="43" s="1"/>
  <c r="L108" i="40"/>
  <c r="N61" i="43" s="1"/>
  <c r="L112" i="40"/>
  <c r="N65" i="43" s="1"/>
  <c r="L116" i="40"/>
  <c r="N69" i="43" s="1"/>
  <c r="L120" i="40"/>
  <c r="N73" i="43" s="1"/>
  <c r="L124" i="40"/>
  <c r="N77" i="43" s="1"/>
  <c r="L128" i="40"/>
  <c r="N81" i="43" s="1"/>
  <c r="L132" i="40"/>
  <c r="N85" i="43" s="1"/>
  <c r="L136" i="40"/>
  <c r="N89" i="43" s="1"/>
  <c r="L140" i="40"/>
  <c r="N93" i="43" s="1"/>
  <c r="L144" i="40"/>
  <c r="N97" i="43" s="1"/>
  <c r="L148" i="40"/>
  <c r="N101" i="43" s="1"/>
  <c r="L152" i="40"/>
  <c r="N105" i="43" s="1"/>
  <c r="L156" i="40"/>
  <c r="N109" i="43" s="1"/>
  <c r="L160" i="40"/>
  <c r="N113" i="43" s="1"/>
  <c r="L164" i="40"/>
  <c r="N117" i="43" s="1"/>
  <c r="L168" i="40"/>
  <c r="N121" i="43" s="1"/>
  <c r="L172" i="40"/>
  <c r="N125" i="43" s="1"/>
  <c r="L176" i="40"/>
  <c r="N129" i="43" s="1"/>
  <c r="L180" i="40"/>
  <c r="N133" i="43" s="1"/>
  <c r="L244" i="40"/>
  <c r="N197" i="43" s="1"/>
  <c r="L232" i="40"/>
  <c r="N185" i="43" s="1"/>
  <c r="L224" i="40"/>
  <c r="N177" i="43" s="1"/>
  <c r="L212" i="40"/>
  <c r="N165" i="43" s="1"/>
  <c r="L200" i="40"/>
  <c r="N153" i="43" s="1"/>
  <c r="L188" i="40"/>
  <c r="N141" i="43" s="1"/>
  <c r="L153" i="40"/>
  <c r="N106" i="43" s="1"/>
  <c r="L105" i="40"/>
  <c r="N58" i="43" s="1"/>
  <c r="L452" i="40"/>
  <c r="N401" i="43" s="1"/>
  <c r="L404" i="40"/>
  <c r="L356" i="40"/>
  <c r="N305" i="43" s="1"/>
  <c r="L308" i="40"/>
  <c r="L255" i="40"/>
  <c r="N208" i="43" s="1"/>
  <c r="L243" i="40"/>
  <c r="N196" i="43" s="1"/>
  <c r="L231" i="40"/>
  <c r="N184" i="43" s="1"/>
  <c r="L219" i="40"/>
  <c r="N172" i="43" s="1"/>
  <c r="L207" i="40"/>
  <c r="N160" i="43" s="1"/>
  <c r="L203" i="40"/>
  <c r="N156" i="43" s="1"/>
  <c r="L199" i="40"/>
  <c r="N152" i="43" s="1"/>
  <c r="L195" i="40"/>
  <c r="N148" i="43" s="1"/>
  <c r="L191" i="40"/>
  <c r="N144" i="43" s="1"/>
  <c r="L187" i="40"/>
  <c r="N140" i="43" s="1"/>
  <c r="L181" i="40"/>
  <c r="N134" i="43" s="1"/>
  <c r="L165" i="40"/>
  <c r="N118" i="43" s="1"/>
  <c r="L149" i="40"/>
  <c r="N102" i="43" s="1"/>
  <c r="L133" i="40"/>
  <c r="N86" i="43" s="1"/>
  <c r="L117" i="40"/>
  <c r="N70" i="43" s="1"/>
  <c r="L101" i="40"/>
  <c r="N54" i="43" s="1"/>
  <c r="L85" i="40"/>
  <c r="N38" i="43" s="1"/>
  <c r="L69" i="40"/>
  <c r="N22" i="43" s="1"/>
  <c r="L53" i="40"/>
  <c r="N6" i="43" s="1"/>
  <c r="L448" i="40"/>
  <c r="N397" i="43" s="1"/>
  <c r="L432" i="40"/>
  <c r="N381" i="43" s="1"/>
  <c r="L416" i="40"/>
  <c r="N365" i="43" s="1"/>
  <c r="L400" i="40"/>
  <c r="N349" i="43" s="1"/>
  <c r="L384" i="40"/>
  <c r="N333" i="43" s="1"/>
  <c r="L368" i="40"/>
  <c r="N317" i="43" s="1"/>
  <c r="L352" i="40"/>
  <c r="N301" i="43" s="1"/>
  <c r="L336" i="40"/>
  <c r="N285" i="43" s="1"/>
  <c r="L320" i="40"/>
  <c r="N269" i="43" s="1"/>
  <c r="L304" i="40"/>
  <c r="N253" i="43" s="1"/>
  <c r="L288" i="40"/>
  <c r="N237" i="43" s="1"/>
  <c r="L272" i="40"/>
  <c r="N221" i="43" s="1"/>
  <c r="L252" i="40"/>
  <c r="N205" i="43" s="1"/>
  <c r="L240" i="40"/>
  <c r="N193" i="43" s="1"/>
  <c r="L228" i="40"/>
  <c r="N181" i="43" s="1"/>
  <c r="L216" i="40"/>
  <c r="N169" i="43" s="1"/>
  <c r="L204" i="40"/>
  <c r="N157" i="43" s="1"/>
  <c r="L192" i="40"/>
  <c r="N145" i="43" s="1"/>
  <c r="L169" i="40"/>
  <c r="N122" i="43" s="1"/>
  <c r="L121" i="40"/>
  <c r="N74" i="43" s="1"/>
  <c r="L73" i="40"/>
  <c r="N26" i="43" s="1"/>
  <c r="L57" i="40"/>
  <c r="N10" i="43" s="1"/>
  <c r="L420" i="40"/>
  <c r="N369" i="43" s="1"/>
  <c r="L372" i="40"/>
  <c r="N321" i="43" s="1"/>
  <c r="L324" i="40"/>
  <c r="N273" i="43" s="1"/>
  <c r="L276" i="40"/>
  <c r="N225" i="43" s="1"/>
  <c r="L247" i="40"/>
  <c r="N200" i="43" s="1"/>
  <c r="L235" i="40"/>
  <c r="N188" i="43" s="1"/>
  <c r="L223" i="40"/>
  <c r="N176" i="43" s="1"/>
  <c r="L211" i="40"/>
  <c r="L254" i="40"/>
  <c r="N207" i="43" s="1"/>
  <c r="L250" i="40"/>
  <c r="N203" i="43" s="1"/>
  <c r="L246" i="40"/>
  <c r="N199" i="43" s="1"/>
  <c r="L242" i="40"/>
  <c r="N195" i="43" s="1"/>
  <c r="L238" i="40"/>
  <c r="N191" i="43" s="1"/>
  <c r="L234" i="40"/>
  <c r="N187" i="43" s="1"/>
  <c r="L230" i="40"/>
  <c r="N183" i="43" s="1"/>
  <c r="L226" i="40"/>
  <c r="N179" i="43" s="1"/>
  <c r="L222" i="40"/>
  <c r="N175" i="43" s="1"/>
  <c r="L218" i="40"/>
  <c r="N171" i="43" s="1"/>
  <c r="L214" i="40"/>
  <c r="N167" i="43" s="1"/>
  <c r="L210" i="40"/>
  <c r="N163" i="43" s="1"/>
  <c r="L206" i="40"/>
  <c r="N159" i="43" s="1"/>
  <c r="L202" i="40"/>
  <c r="N155" i="43" s="1"/>
  <c r="L198" i="40"/>
  <c r="N151" i="43" s="1"/>
  <c r="L194" i="40"/>
  <c r="N147" i="43" s="1"/>
  <c r="L190" i="40"/>
  <c r="N143" i="43" s="1"/>
  <c r="L185" i="40"/>
  <c r="N138" i="43" s="1"/>
  <c r="L177" i="40"/>
  <c r="N130" i="43" s="1"/>
  <c r="L161" i="40"/>
  <c r="N114" i="43" s="1"/>
  <c r="L145" i="40"/>
  <c r="N98" i="43" s="1"/>
  <c r="L129" i="40"/>
  <c r="N82" i="43" s="1"/>
  <c r="L113" i="40"/>
  <c r="N66" i="43" s="1"/>
  <c r="L97" i="40"/>
  <c r="N50" i="43" s="1"/>
  <c r="L81" i="40"/>
  <c r="N34" i="43" s="1"/>
  <c r="L65" i="40"/>
  <c r="N18" i="43" s="1"/>
  <c r="L260" i="40"/>
  <c r="N209" i="43" s="1"/>
  <c r="L444" i="40"/>
  <c r="N393" i="43" s="1"/>
  <c r="L428" i="40"/>
  <c r="N377" i="43" s="1"/>
  <c r="L412" i="40"/>
  <c r="N361" i="43" s="1"/>
  <c r="L396" i="40"/>
  <c r="L380" i="40"/>
  <c r="N329" i="43" s="1"/>
  <c r="L364" i="40"/>
  <c r="N313" i="43" s="1"/>
  <c r="L348" i="40"/>
  <c r="N297" i="43" s="1"/>
  <c r="L332" i="40"/>
  <c r="N281" i="43" s="1"/>
  <c r="L316" i="40"/>
  <c r="N265" i="43" s="1"/>
  <c r="L300" i="40"/>
  <c r="N249" i="43" s="1"/>
  <c r="L284" i="40"/>
  <c r="L268" i="40"/>
  <c r="N217" i="43" s="1"/>
  <c r="L248" i="40"/>
  <c r="N201" i="43" s="1"/>
  <c r="L236" i="40"/>
  <c r="N189" i="43" s="1"/>
  <c r="L220" i="40"/>
  <c r="N173" i="43" s="1"/>
  <c r="L208" i="40"/>
  <c r="N161" i="43" s="1"/>
  <c r="L196" i="40"/>
  <c r="N149" i="43" s="1"/>
  <c r="L183" i="40"/>
  <c r="N136" i="43" s="1"/>
  <c r="L137" i="40"/>
  <c r="N90" i="43" s="1"/>
  <c r="L89" i="40"/>
  <c r="N42" i="43" s="1"/>
  <c r="L436" i="40"/>
  <c r="N385" i="43" s="1"/>
  <c r="L388" i="40"/>
  <c r="N337" i="43" s="1"/>
  <c r="L340" i="40"/>
  <c r="N289" i="43" s="1"/>
  <c r="L292" i="40"/>
  <c r="N241" i="43" s="1"/>
  <c r="L251" i="40"/>
  <c r="N204" i="43" s="1"/>
  <c r="L239" i="40"/>
  <c r="N192" i="43" s="1"/>
  <c r="L227" i="40"/>
  <c r="N180" i="43" s="1"/>
  <c r="L215" i="40"/>
  <c r="N168" i="43" s="1"/>
  <c r="L253" i="40"/>
  <c r="N206" i="43" s="1"/>
  <c r="L249" i="40"/>
  <c r="N202" i="43" s="1"/>
  <c r="L245" i="40"/>
  <c r="N198" i="43" s="1"/>
  <c r="L241" i="40"/>
  <c r="N194" i="43" s="1"/>
  <c r="L237" i="40"/>
  <c r="N190" i="43" s="1"/>
  <c r="L233" i="40"/>
  <c r="N186" i="43" s="1"/>
  <c r="L229" i="40"/>
  <c r="N182" i="43" s="1"/>
  <c r="L225" i="40"/>
  <c r="N178" i="43" s="1"/>
  <c r="L221" i="40"/>
  <c r="N174" i="43" s="1"/>
  <c r="L217" i="40"/>
  <c r="N170" i="43" s="1"/>
  <c r="L213" i="40"/>
  <c r="N166" i="43" s="1"/>
  <c r="L209" i="40"/>
  <c r="N162" i="43" s="1"/>
  <c r="L205" i="40"/>
  <c r="N158" i="43" s="1"/>
  <c r="L201" i="40"/>
  <c r="N154" i="43" s="1"/>
  <c r="L197" i="40"/>
  <c r="N150" i="43" s="1"/>
  <c r="L193" i="40"/>
  <c r="N146" i="43" s="1"/>
  <c r="L189" i="40"/>
  <c r="N142" i="43" s="1"/>
  <c r="L184" i="40"/>
  <c r="N137" i="43" s="1"/>
  <c r="L173" i="40"/>
  <c r="N126" i="43" s="1"/>
  <c r="L157" i="40"/>
  <c r="N110" i="43" s="1"/>
  <c r="L141" i="40"/>
  <c r="N94" i="43" s="1"/>
  <c r="L125" i="40"/>
  <c r="N78" i="43" s="1"/>
  <c r="L109" i="40"/>
  <c r="N62" i="43" s="1"/>
  <c r="L93" i="40"/>
  <c r="N46" i="43" s="1"/>
  <c r="L77" i="40"/>
  <c r="N30" i="43" s="1"/>
  <c r="L61" i="40"/>
  <c r="N14" i="43" s="1"/>
  <c r="L456" i="40"/>
  <c r="N405" i="43" s="1"/>
  <c r="L440" i="40"/>
  <c r="N389" i="43" s="1"/>
  <c r="L424" i="40"/>
  <c r="N373" i="43" s="1"/>
  <c r="L408" i="40"/>
  <c r="N357" i="43" s="1"/>
  <c r="L392" i="40"/>
  <c r="N341" i="43" s="1"/>
  <c r="L376" i="40"/>
  <c r="N325" i="43" s="1"/>
  <c r="L360" i="40"/>
  <c r="N309" i="43" s="1"/>
  <c r="L344" i="40"/>
  <c r="N293" i="43" s="1"/>
  <c r="L328" i="40"/>
  <c r="N277" i="43" s="1"/>
  <c r="L312" i="40"/>
  <c r="N261" i="43" s="1"/>
  <c r="L296" i="40"/>
  <c r="L280" i="40"/>
  <c r="N229" i="43" s="1"/>
  <c r="L264" i="40"/>
  <c r="N213" i="43" s="1"/>
  <c r="P248" i="39"/>
  <c r="Q248" i="39" s="1"/>
  <c r="I262" i="40"/>
  <c r="I272" i="40"/>
  <c r="P262" i="39"/>
  <c r="Q262" i="39" s="1"/>
  <c r="I280" i="40"/>
  <c r="P271" i="39"/>
  <c r="Q271" i="39" s="1"/>
  <c r="C275" i="39"/>
  <c r="P279" i="39"/>
  <c r="Q279" i="39" s="1"/>
  <c r="I300" i="40"/>
  <c r="P292" i="39"/>
  <c r="Q292" i="39" s="1"/>
  <c r="C296" i="39"/>
  <c r="I308" i="40" s="1"/>
  <c r="P298" i="39"/>
  <c r="Q298" i="39" s="1"/>
  <c r="P300" i="39"/>
  <c r="Q300" i="39" s="1"/>
  <c r="I314" i="40"/>
  <c r="I316" i="40"/>
  <c r="H308" i="39"/>
  <c r="I308" i="39" s="1"/>
  <c r="I324" i="40"/>
  <c r="I333" i="40"/>
  <c r="C323" i="39"/>
  <c r="P323" i="39" s="1"/>
  <c r="Q323" i="39" s="1"/>
  <c r="I337" i="40"/>
  <c r="I341" i="40"/>
  <c r="P331" i="39"/>
  <c r="Q331" i="39" s="1"/>
  <c r="P335" i="39"/>
  <c r="Q335" i="39" s="1"/>
  <c r="I349" i="40"/>
  <c r="P339" i="39"/>
  <c r="Q339" i="39" s="1"/>
  <c r="I353" i="40"/>
  <c r="I355" i="40"/>
  <c r="H403" i="39"/>
  <c r="I403" i="39" s="1"/>
  <c r="L405" i="39"/>
  <c r="M405" i="39" s="1"/>
  <c r="L407" i="39"/>
  <c r="M407" i="39" s="1"/>
  <c r="H414" i="39"/>
  <c r="I414" i="39" s="1"/>
  <c r="L410" i="39"/>
  <c r="M410" i="39" s="1"/>
  <c r="H420" i="39"/>
  <c r="I420" i="39" s="1"/>
  <c r="H424" i="39"/>
  <c r="I424" i="39" s="1"/>
  <c r="H426" i="39"/>
  <c r="I426" i="39" s="1"/>
  <c r="P430" i="39"/>
  <c r="Q430" i="39" s="1"/>
  <c r="I444" i="40"/>
  <c r="I446" i="40"/>
  <c r="L436" i="39"/>
  <c r="M436" i="39" s="1"/>
  <c r="P442" i="39"/>
  <c r="Q442" i="39" s="1"/>
  <c r="L444" i="39"/>
  <c r="M444" i="39" s="1"/>
  <c r="I458" i="40"/>
  <c r="H7" i="39"/>
  <c r="K5" i="39"/>
  <c r="K4" i="39"/>
  <c r="K3" i="39"/>
  <c r="I3" i="39"/>
  <c r="C25" i="39"/>
  <c r="D98" i="41"/>
  <c r="C106" i="41"/>
  <c r="C33" i="39" s="1"/>
  <c r="I38" i="40" s="1"/>
  <c r="C105" i="41"/>
  <c r="D105" i="41" s="1"/>
  <c r="E105" i="41" s="1"/>
  <c r="C104" i="41"/>
  <c r="C31" i="39" s="1"/>
  <c r="C103" i="41"/>
  <c r="C30" i="39" s="1"/>
  <c r="H30" i="39" s="1"/>
  <c r="I30" i="39" s="1"/>
  <c r="C102" i="41"/>
  <c r="C101" i="41"/>
  <c r="C28" i="39" s="1"/>
  <c r="C100" i="41"/>
  <c r="C27" i="39" s="1"/>
  <c r="C99" i="41"/>
  <c r="D99" i="41" s="1"/>
  <c r="E99" i="41" s="1"/>
  <c r="C11" i="39"/>
  <c r="C10" i="39"/>
  <c r="I14" i="40" s="1"/>
  <c r="C91" i="41"/>
  <c r="D91" i="41" s="1"/>
  <c r="C90" i="41"/>
  <c r="D90" i="41" s="1"/>
  <c r="C89" i="41"/>
  <c r="D89" i="41" s="1"/>
  <c r="C88" i="41"/>
  <c r="E88" i="41" s="1"/>
  <c r="C87" i="41"/>
  <c r="D87" i="41" s="1"/>
  <c r="C86" i="41"/>
  <c r="D86" i="41" s="1"/>
  <c r="C85" i="41"/>
  <c r="D85" i="41" s="1"/>
  <c r="C84" i="41"/>
  <c r="E84" i="41" s="1"/>
  <c r="C83" i="41"/>
  <c r="D83" i="41" s="1"/>
  <c r="C82" i="41"/>
  <c r="D82" i="41" s="1"/>
  <c r="C81" i="41"/>
  <c r="D81" i="41" s="1"/>
  <c r="C80" i="41"/>
  <c r="D80" i="41" s="1"/>
  <c r="C75" i="41"/>
  <c r="D75" i="41" s="1"/>
  <c r="C74" i="41"/>
  <c r="D74" i="41" s="1"/>
  <c r="C73" i="41"/>
  <c r="C72" i="41"/>
  <c r="C13" i="39" s="1"/>
  <c r="C71" i="41"/>
  <c r="D71" i="41" s="1"/>
  <c r="C70" i="41"/>
  <c r="D70" i="41" s="1"/>
  <c r="C69" i="41"/>
  <c r="D69" i="41" s="1"/>
  <c r="C68" i="41"/>
  <c r="C16" i="39" s="1"/>
  <c r="C67" i="41"/>
  <c r="D67" i="41" s="1"/>
  <c r="C66" i="41"/>
  <c r="D66" i="41" s="1"/>
  <c r="C65" i="41"/>
  <c r="E65" i="41" s="1"/>
  <c r="C64" i="41"/>
  <c r="C12" i="39" s="1"/>
  <c r="E61" i="41"/>
  <c r="D62" i="41"/>
  <c r="E62" i="41"/>
  <c r="D63" i="41"/>
  <c r="E63" i="41"/>
  <c r="D57" i="41"/>
  <c r="E57" i="41"/>
  <c r="D58" i="41"/>
  <c r="E58" i="41"/>
  <c r="F58" i="41" s="1"/>
  <c r="D59" i="41"/>
  <c r="E59" i="41"/>
  <c r="E56" i="41"/>
  <c r="D56" i="41"/>
  <c r="I27" i="41"/>
  <c r="J27" i="41" s="1"/>
  <c r="D547" i="40"/>
  <c r="D546" i="40"/>
  <c r="D545" i="40"/>
  <c r="D544" i="40"/>
  <c r="D543" i="40"/>
  <c r="D542" i="40"/>
  <c r="D541" i="40"/>
  <c r="D540" i="40"/>
  <c r="D539" i="40"/>
  <c r="D538" i="40"/>
  <c r="D537" i="40"/>
  <c r="D536" i="40"/>
  <c r="D535" i="40"/>
  <c r="D534" i="40"/>
  <c r="D533" i="40"/>
  <c r="D532" i="40"/>
  <c r="D531" i="40"/>
  <c r="D530" i="40"/>
  <c r="D529" i="40"/>
  <c r="D528" i="40"/>
  <c r="D631" i="40"/>
  <c r="D630" i="40"/>
  <c r="D629" i="40"/>
  <c r="D627" i="40"/>
  <c r="D628" i="40"/>
  <c r="D626" i="40"/>
  <c r="D625" i="40"/>
  <c r="D624" i="40"/>
  <c r="D623" i="40"/>
  <c r="D622" i="40"/>
  <c r="D621" i="40"/>
  <c r="D620" i="40"/>
  <c r="D619" i="40"/>
  <c r="D618" i="40"/>
  <c r="D617" i="40"/>
  <c r="D616" i="40"/>
  <c r="D615" i="40"/>
  <c r="D614" i="40"/>
  <c r="D613" i="40"/>
  <c r="D612" i="40"/>
  <c r="D611" i="40"/>
  <c r="D610" i="40"/>
  <c r="D609" i="40"/>
  <c r="D608" i="40"/>
  <c r="D607" i="40"/>
  <c r="D597" i="40"/>
  <c r="D598" i="40"/>
  <c r="D599" i="40"/>
  <c r="D600" i="40"/>
  <c r="D601" i="40"/>
  <c r="D602" i="40"/>
  <c r="D603" i="40"/>
  <c r="D604" i="40"/>
  <c r="D605" i="40"/>
  <c r="D606" i="40"/>
  <c r="D571" i="40"/>
  <c r="D572" i="40"/>
  <c r="D573" i="40"/>
  <c r="D574" i="40"/>
  <c r="D575" i="40"/>
  <c r="D576" i="40"/>
  <c r="D577" i="40"/>
  <c r="D578" i="40"/>
  <c r="D579" i="40"/>
  <c r="D580" i="40"/>
  <c r="D581" i="40"/>
  <c r="D582" i="40"/>
  <c r="D583" i="40"/>
  <c r="D584" i="40"/>
  <c r="D585" i="40"/>
  <c r="D586" i="40"/>
  <c r="D587" i="40"/>
  <c r="D588" i="40"/>
  <c r="D589" i="40"/>
  <c r="D590" i="40"/>
  <c r="D591" i="40"/>
  <c r="D592" i="40"/>
  <c r="D593" i="40"/>
  <c r="D594" i="40"/>
  <c r="D595" i="40"/>
  <c r="D596" i="40"/>
  <c r="D549" i="40"/>
  <c r="D550" i="40"/>
  <c r="D551" i="40"/>
  <c r="D552" i="40"/>
  <c r="D553" i="40"/>
  <c r="D554" i="40"/>
  <c r="D555" i="40"/>
  <c r="D556" i="40"/>
  <c r="D557" i="40"/>
  <c r="D558" i="40"/>
  <c r="D559" i="40"/>
  <c r="D560" i="40"/>
  <c r="D561" i="40"/>
  <c r="D562" i="40"/>
  <c r="D563" i="40"/>
  <c r="D564" i="40"/>
  <c r="D565" i="40"/>
  <c r="D566" i="40"/>
  <c r="D567" i="40"/>
  <c r="D568" i="40"/>
  <c r="D569" i="40"/>
  <c r="D570" i="40"/>
  <c r="D548" i="40"/>
  <c r="D527" i="40"/>
  <c r="D526" i="40"/>
  <c r="D525" i="40"/>
  <c r="D524" i="40"/>
  <c r="D523" i="40"/>
  <c r="D522" i="40"/>
  <c r="D520" i="40"/>
  <c r="D521" i="40"/>
  <c r="D519" i="40"/>
  <c r="D512" i="40"/>
  <c r="D513" i="40"/>
  <c r="D514" i="40"/>
  <c r="D515" i="40"/>
  <c r="D516" i="40"/>
  <c r="D517" i="40"/>
  <c r="D518" i="40"/>
  <c r="D511" i="40"/>
  <c r="D509" i="40"/>
  <c r="D510" i="40"/>
  <c r="D508" i="40"/>
  <c r="D507" i="40"/>
  <c r="D506" i="40"/>
  <c r="D505" i="40"/>
  <c r="D504" i="40"/>
  <c r="D503" i="40"/>
  <c r="D502" i="40"/>
  <c r="D501" i="40"/>
  <c r="D500" i="40"/>
  <c r="D499" i="40"/>
  <c r="D495" i="40"/>
  <c r="D496" i="40"/>
  <c r="D497" i="40"/>
  <c r="D498" i="40"/>
  <c r="D494" i="40"/>
  <c r="L374" i="39"/>
  <c r="M374" i="39" s="1"/>
  <c r="L375" i="39"/>
  <c r="M375" i="39" s="1"/>
  <c r="L376" i="39"/>
  <c r="M376" i="39" s="1"/>
  <c r="L377" i="39"/>
  <c r="M377" i="39" s="1"/>
  <c r="L378" i="39"/>
  <c r="M378" i="39" s="1"/>
  <c r="L379" i="39"/>
  <c r="M379" i="39" s="1"/>
  <c r="L380" i="39"/>
  <c r="M380" i="39" s="1"/>
  <c r="L381" i="39"/>
  <c r="M381" i="39" s="1"/>
  <c r="L382" i="39"/>
  <c r="M382" i="39" s="1"/>
  <c r="L383" i="39"/>
  <c r="M383" i="39" s="1"/>
  <c r="L384" i="39"/>
  <c r="M384" i="39" s="1"/>
  <c r="L385" i="39"/>
  <c r="M385" i="39" s="1"/>
  <c r="L386" i="39"/>
  <c r="M386" i="39" s="1"/>
  <c r="L387" i="39"/>
  <c r="M387" i="39" s="1"/>
  <c r="L388" i="39"/>
  <c r="M388" i="39" s="1"/>
  <c r="L389" i="39"/>
  <c r="M389" i="39" s="1"/>
  <c r="L390" i="39"/>
  <c r="M390" i="39" s="1"/>
  <c r="L391" i="39"/>
  <c r="M391" i="39" s="1"/>
  <c r="L392" i="39"/>
  <c r="M392" i="39" s="1"/>
  <c r="L393" i="39"/>
  <c r="M393" i="39" s="1"/>
  <c r="L394" i="39"/>
  <c r="M394" i="39" s="1"/>
  <c r="L395" i="39"/>
  <c r="M395" i="39" s="1"/>
  <c r="L396" i="39"/>
  <c r="M396" i="39" s="1"/>
  <c r="L397" i="39"/>
  <c r="M397" i="39" s="1"/>
  <c r="L398" i="39"/>
  <c r="M398" i="39" s="1"/>
  <c r="L399" i="39"/>
  <c r="M399" i="39" s="1"/>
  <c r="L400" i="39"/>
  <c r="M400" i="39" s="1"/>
  <c r="L401" i="39"/>
  <c r="M401" i="39" s="1"/>
  <c r="L402" i="39"/>
  <c r="M402" i="39" s="1"/>
  <c r="L404" i="39"/>
  <c r="M404" i="39" s="1"/>
  <c r="L406" i="39"/>
  <c r="M406" i="39" s="1"/>
  <c r="L408" i="39"/>
  <c r="M408" i="39" s="1"/>
  <c r="L409" i="39"/>
  <c r="M409" i="39" s="1"/>
  <c r="L411" i="39"/>
  <c r="M411" i="39" s="1"/>
  <c r="L413" i="39"/>
  <c r="M413" i="39"/>
  <c r="L415" i="39"/>
  <c r="M415" i="39" s="1"/>
  <c r="L416" i="39"/>
  <c r="M416" i="39" s="1"/>
  <c r="L417" i="39"/>
  <c r="M417" i="39" s="1"/>
  <c r="L418" i="39"/>
  <c r="M418" i="39" s="1"/>
  <c r="L419" i="39"/>
  <c r="M419" i="39" s="1"/>
  <c r="L420" i="39"/>
  <c r="M420" i="39" s="1"/>
  <c r="L421" i="39"/>
  <c r="M421" i="39" s="1"/>
  <c r="L422" i="39"/>
  <c r="M422" i="39" s="1"/>
  <c r="L423" i="39"/>
  <c r="M423" i="39" s="1"/>
  <c r="L425" i="39"/>
  <c r="M425" i="39" s="1"/>
  <c r="L426" i="39"/>
  <c r="M426" i="39" s="1"/>
  <c r="L427" i="39"/>
  <c r="M427" i="39" s="1"/>
  <c r="L428" i="39"/>
  <c r="M428" i="39" s="1"/>
  <c r="L429" i="39"/>
  <c r="M429" i="39" s="1"/>
  <c r="L431" i="39"/>
  <c r="M431" i="39" s="1"/>
  <c r="L433" i="39"/>
  <c r="M433" i="39" s="1"/>
  <c r="L435" i="39"/>
  <c r="M435" i="39" s="1"/>
  <c r="L437" i="39"/>
  <c r="M437" i="39" s="1"/>
  <c r="L439" i="39"/>
  <c r="M439" i="39" s="1"/>
  <c r="L440" i="39"/>
  <c r="M440" i="39" s="1"/>
  <c r="L441" i="39"/>
  <c r="M441" i="39" s="1"/>
  <c r="L443" i="39"/>
  <c r="M443" i="39" s="1"/>
  <c r="L445" i="39"/>
  <c r="M445" i="39" s="1"/>
  <c r="L447" i="39"/>
  <c r="M447" i="39" s="1"/>
  <c r="H374" i="39"/>
  <c r="I374" i="39" s="1"/>
  <c r="H375" i="39"/>
  <c r="I375" i="39" s="1"/>
  <c r="H376" i="39"/>
  <c r="I376" i="39" s="1"/>
  <c r="H377" i="39"/>
  <c r="I377" i="39" s="1"/>
  <c r="H378" i="39"/>
  <c r="I378" i="39" s="1"/>
  <c r="H379" i="39"/>
  <c r="I379" i="39" s="1"/>
  <c r="H380" i="39"/>
  <c r="I380" i="39" s="1"/>
  <c r="H381" i="39"/>
  <c r="I381" i="39" s="1"/>
  <c r="H382" i="39"/>
  <c r="I382" i="39" s="1"/>
  <c r="H383" i="39"/>
  <c r="I383" i="39" s="1"/>
  <c r="H384" i="39"/>
  <c r="I384" i="39" s="1"/>
  <c r="H385" i="39"/>
  <c r="I385" i="39" s="1"/>
  <c r="H386" i="39"/>
  <c r="I386" i="39" s="1"/>
  <c r="H387" i="39"/>
  <c r="I387" i="39" s="1"/>
  <c r="H388" i="39"/>
  <c r="I388" i="39" s="1"/>
  <c r="H389" i="39"/>
  <c r="I389" i="39" s="1"/>
  <c r="H390" i="39"/>
  <c r="I390" i="39" s="1"/>
  <c r="H391" i="39"/>
  <c r="I391" i="39" s="1"/>
  <c r="H392" i="39"/>
  <c r="I392" i="39" s="1"/>
  <c r="H393" i="39"/>
  <c r="I393" i="39" s="1"/>
  <c r="H394" i="39"/>
  <c r="I394" i="39" s="1"/>
  <c r="H395" i="39"/>
  <c r="I395" i="39" s="1"/>
  <c r="H396" i="39"/>
  <c r="I396" i="39" s="1"/>
  <c r="H397" i="39"/>
  <c r="I397" i="39" s="1"/>
  <c r="H398" i="39"/>
  <c r="I398" i="39" s="1"/>
  <c r="H399" i="39"/>
  <c r="I399" i="39" s="1"/>
  <c r="H400" i="39"/>
  <c r="I400" i="39" s="1"/>
  <c r="H401" i="39"/>
  <c r="I401" i="39" s="1"/>
  <c r="H402" i="39"/>
  <c r="I402" i="39" s="1"/>
  <c r="H404" i="39"/>
  <c r="I404" i="39" s="1"/>
  <c r="H406" i="39"/>
  <c r="I406" i="39" s="1"/>
  <c r="H407" i="39"/>
  <c r="I407" i="39" s="1"/>
  <c r="H408" i="39"/>
  <c r="I408" i="39"/>
  <c r="H409" i="39"/>
  <c r="I409" i="39" s="1"/>
  <c r="H410" i="39"/>
  <c r="I410" i="39" s="1"/>
  <c r="H411" i="39"/>
  <c r="I411" i="39" s="1"/>
  <c r="H413" i="39"/>
  <c r="I413" i="39"/>
  <c r="H415" i="39"/>
  <c r="I415" i="39" s="1"/>
  <c r="H416" i="39"/>
  <c r="I416" i="39" s="1"/>
  <c r="H417" i="39"/>
  <c r="I417" i="39" s="1"/>
  <c r="H418" i="39"/>
  <c r="I418" i="39" s="1"/>
  <c r="H419" i="39"/>
  <c r="I419" i="39" s="1"/>
  <c r="H421" i="39"/>
  <c r="I421" i="39" s="1"/>
  <c r="H422" i="39"/>
  <c r="I422" i="39" s="1"/>
  <c r="H423" i="39"/>
  <c r="I423" i="39" s="1"/>
  <c r="H425" i="39"/>
  <c r="I425" i="39"/>
  <c r="H427" i="39"/>
  <c r="I427" i="39" s="1"/>
  <c r="H428" i="39"/>
  <c r="I428" i="39" s="1"/>
  <c r="H429" i="39"/>
  <c r="I429" i="39" s="1"/>
  <c r="H431" i="39"/>
  <c r="I431" i="39" s="1"/>
  <c r="H433" i="39"/>
  <c r="I433" i="39" s="1"/>
  <c r="H435" i="39"/>
  <c r="I435" i="39" s="1"/>
  <c r="H437" i="39"/>
  <c r="I437" i="39" s="1"/>
  <c r="H439" i="39"/>
  <c r="I439" i="39" s="1"/>
  <c r="H440" i="39"/>
  <c r="I440" i="39" s="1"/>
  <c r="H441" i="39"/>
  <c r="I441" i="39" s="1"/>
  <c r="H443" i="39"/>
  <c r="I443" i="39" s="1"/>
  <c r="H444" i="39"/>
  <c r="I444" i="39" s="1"/>
  <c r="H445" i="39"/>
  <c r="I445" i="39" s="1"/>
  <c r="H447" i="39"/>
  <c r="I447" i="39" s="1"/>
  <c r="Q272" i="39"/>
  <c r="Q284" i="39"/>
  <c r="Q311" i="39"/>
  <c r="Q391" i="39"/>
  <c r="Q46" i="39"/>
  <c r="Q183" i="39"/>
  <c r="Q231" i="39"/>
  <c r="P249" i="39"/>
  <c r="Q249" i="39" s="1"/>
  <c r="P250" i="39"/>
  <c r="Q250" i="39" s="1"/>
  <c r="P251" i="39"/>
  <c r="Q251" i="39" s="1"/>
  <c r="P252" i="39"/>
  <c r="Q252" i="39" s="1"/>
  <c r="P253" i="39"/>
  <c r="Q253" i="39" s="1"/>
  <c r="P254" i="39"/>
  <c r="Q254" i="39" s="1"/>
  <c r="P255" i="39"/>
  <c r="Q255" i="39" s="1"/>
  <c r="P256" i="39"/>
  <c r="Q256" i="39" s="1"/>
  <c r="P257" i="39"/>
  <c r="Q257" i="39" s="1"/>
  <c r="P258" i="39"/>
  <c r="Q258" i="39" s="1"/>
  <c r="P259" i="39"/>
  <c r="Q259" i="39" s="1"/>
  <c r="P261" i="39"/>
  <c r="Q261" i="39" s="1"/>
  <c r="P263" i="39"/>
  <c r="Q263" i="39" s="1"/>
  <c r="P264" i="39"/>
  <c r="Q264" i="39" s="1"/>
  <c r="P265" i="39"/>
  <c r="Q265" i="39" s="1"/>
  <c r="P266" i="39"/>
  <c r="Q266" i="39" s="1"/>
  <c r="P267" i="39"/>
  <c r="Q267" i="39" s="1"/>
  <c r="P269" i="39"/>
  <c r="Q269" i="39" s="1"/>
  <c r="P270" i="39"/>
  <c r="Q270" i="39" s="1"/>
  <c r="P272" i="39"/>
  <c r="P273" i="39"/>
  <c r="Q273" i="39" s="1"/>
  <c r="P274" i="39"/>
  <c r="Q274" i="39" s="1"/>
  <c r="P275" i="39"/>
  <c r="Q275" i="39" s="1"/>
  <c r="P276" i="39"/>
  <c r="Q276" i="39" s="1"/>
  <c r="P277" i="39"/>
  <c r="Q277" i="39" s="1"/>
  <c r="P278" i="39"/>
  <c r="Q278" i="39" s="1"/>
  <c r="P280" i="39"/>
  <c r="Q280" i="39" s="1"/>
  <c r="P281" i="39"/>
  <c r="Q281" i="39" s="1"/>
  <c r="P282" i="39"/>
  <c r="Q282" i="39" s="1"/>
  <c r="P283" i="39"/>
  <c r="Q283" i="39" s="1"/>
  <c r="P284" i="39"/>
  <c r="P285" i="39"/>
  <c r="Q285" i="39" s="1"/>
  <c r="P286" i="39"/>
  <c r="Q286" i="39" s="1"/>
  <c r="P287" i="39"/>
  <c r="Q287" i="39" s="1"/>
  <c r="P289" i="39"/>
  <c r="Q289" i="39" s="1"/>
  <c r="P290" i="39"/>
  <c r="Q290" i="39" s="1"/>
  <c r="P291" i="39"/>
  <c r="Q291" i="39" s="1"/>
  <c r="P293" i="39"/>
  <c r="Q293" i="39" s="1"/>
  <c r="P294" i="39"/>
  <c r="Q294" i="39" s="1"/>
  <c r="P295" i="39"/>
  <c r="Q295" i="39" s="1"/>
  <c r="P297" i="39"/>
  <c r="Q297" i="39" s="1"/>
  <c r="P299" i="39"/>
  <c r="Q299" i="39" s="1"/>
  <c r="P301" i="39"/>
  <c r="Q301" i="39" s="1"/>
  <c r="P302" i="39"/>
  <c r="Q302" i="39" s="1"/>
  <c r="P303" i="39"/>
  <c r="Q303" i="39" s="1"/>
  <c r="P305" i="39"/>
  <c r="Q305" i="39" s="1"/>
  <c r="P306" i="39"/>
  <c r="Q306" i="39" s="1"/>
  <c r="P307" i="39"/>
  <c r="Q307" i="39" s="1"/>
  <c r="P309" i="39"/>
  <c r="Q309" i="39" s="1"/>
  <c r="P310" i="39"/>
  <c r="Q310" i="39" s="1"/>
  <c r="P311" i="39"/>
  <c r="P313" i="39"/>
  <c r="Q313" i="39" s="1"/>
  <c r="P314" i="39"/>
  <c r="Q314" i="39" s="1"/>
  <c r="P315" i="39"/>
  <c r="Q315" i="39" s="1"/>
  <c r="P316" i="39"/>
  <c r="Q316" i="39" s="1"/>
  <c r="P317" i="39"/>
  <c r="Q317" i="39" s="1"/>
  <c r="P318" i="39"/>
  <c r="Q318" i="39" s="1"/>
  <c r="P319" i="39"/>
  <c r="Q319" i="39" s="1"/>
  <c r="P320" i="39"/>
  <c r="Q320" i="39" s="1"/>
  <c r="P322" i="39"/>
  <c r="Q322" i="39" s="1"/>
  <c r="P324" i="39"/>
  <c r="Q324" i="39" s="1"/>
  <c r="P326" i="39"/>
  <c r="Q326" i="39" s="1"/>
  <c r="P327" i="39"/>
  <c r="Q327" i="39" s="1"/>
  <c r="P328" i="39"/>
  <c r="Q328" i="39" s="1"/>
  <c r="P329" i="39"/>
  <c r="Q329" i="39" s="1"/>
  <c r="P330" i="39"/>
  <c r="Q330" i="39" s="1"/>
  <c r="P332" i="39"/>
  <c r="Q332" i="39" s="1"/>
  <c r="P333" i="39"/>
  <c r="Q333" i="39" s="1"/>
  <c r="P334" i="39"/>
  <c r="Q334" i="39" s="1"/>
  <c r="P336" i="39"/>
  <c r="Q336" i="39" s="1"/>
  <c r="P338" i="39"/>
  <c r="Q338" i="39" s="1"/>
  <c r="P340" i="39"/>
  <c r="Q340" i="39" s="1"/>
  <c r="P342" i="39"/>
  <c r="Q342" i="39" s="1"/>
  <c r="P344" i="39"/>
  <c r="Q344" i="39" s="1"/>
  <c r="P345" i="39"/>
  <c r="Q345" i="39" s="1"/>
  <c r="P346" i="39"/>
  <c r="Q346" i="39" s="1"/>
  <c r="P347" i="39"/>
  <c r="Q347" i="39" s="1"/>
  <c r="P348" i="39"/>
  <c r="Q348" i="39" s="1"/>
  <c r="P349" i="39"/>
  <c r="Q349" i="39" s="1"/>
  <c r="P350" i="39"/>
  <c r="Q350" i="39" s="1"/>
  <c r="P351" i="39"/>
  <c r="Q351" i="39" s="1"/>
  <c r="P352" i="39"/>
  <c r="Q352" i="39" s="1"/>
  <c r="P353" i="39"/>
  <c r="Q353" i="39" s="1"/>
  <c r="P354" i="39"/>
  <c r="Q354" i="39" s="1"/>
  <c r="P355" i="39"/>
  <c r="Q355" i="39" s="1"/>
  <c r="P356" i="39"/>
  <c r="Q356" i="39" s="1"/>
  <c r="P357" i="39"/>
  <c r="Q357" i="39" s="1"/>
  <c r="P358" i="39"/>
  <c r="Q358" i="39" s="1"/>
  <c r="P359" i="39"/>
  <c r="Q359" i="39" s="1"/>
  <c r="P360" i="39"/>
  <c r="Q360" i="39" s="1"/>
  <c r="P361" i="39"/>
  <c r="Q361" i="39" s="1"/>
  <c r="P362" i="39"/>
  <c r="Q362" i="39" s="1"/>
  <c r="P363" i="39"/>
  <c r="Q363" i="39" s="1"/>
  <c r="P364" i="39"/>
  <c r="Q364" i="39" s="1"/>
  <c r="P365" i="39"/>
  <c r="Q365" i="39" s="1"/>
  <c r="P366" i="39"/>
  <c r="Q366" i="39" s="1"/>
  <c r="P367" i="39"/>
  <c r="Q367" i="39" s="1"/>
  <c r="P368" i="39"/>
  <c r="Q368" i="39" s="1"/>
  <c r="P369" i="39"/>
  <c r="Q369" i="39" s="1"/>
  <c r="P370" i="39"/>
  <c r="Q370" i="39" s="1"/>
  <c r="P371" i="39"/>
  <c r="Q371" i="39" s="1"/>
  <c r="P372" i="39"/>
  <c r="Q372" i="39" s="1"/>
  <c r="P373" i="39"/>
  <c r="Q373" i="39" s="1"/>
  <c r="P374" i="39"/>
  <c r="Q374" i="39" s="1"/>
  <c r="P375" i="39"/>
  <c r="Q375" i="39" s="1"/>
  <c r="P376" i="39"/>
  <c r="Q376" i="39" s="1"/>
  <c r="P377" i="39"/>
  <c r="Q377" i="39" s="1"/>
  <c r="P378" i="39"/>
  <c r="Q378" i="39" s="1"/>
  <c r="P379" i="39"/>
  <c r="Q379" i="39" s="1"/>
  <c r="P380" i="39"/>
  <c r="Q380" i="39" s="1"/>
  <c r="P381" i="39"/>
  <c r="Q381" i="39" s="1"/>
  <c r="P382" i="39"/>
  <c r="Q382" i="39" s="1"/>
  <c r="P383" i="39"/>
  <c r="Q383" i="39" s="1"/>
  <c r="P384" i="39"/>
  <c r="Q384" i="39" s="1"/>
  <c r="P385" i="39"/>
  <c r="Q385" i="39" s="1"/>
  <c r="P386" i="39"/>
  <c r="Q386" i="39" s="1"/>
  <c r="P387" i="39"/>
  <c r="Q387" i="39" s="1"/>
  <c r="P388" i="39"/>
  <c r="Q388" i="39" s="1"/>
  <c r="P389" i="39"/>
  <c r="Q389" i="39" s="1"/>
  <c r="P390" i="39"/>
  <c r="Q390" i="39" s="1"/>
  <c r="P391" i="39"/>
  <c r="P392" i="39"/>
  <c r="Q392" i="39" s="1"/>
  <c r="P393" i="39"/>
  <c r="Q393" i="39" s="1"/>
  <c r="P394" i="39"/>
  <c r="Q394" i="39" s="1"/>
  <c r="P395" i="39"/>
  <c r="Q395" i="39" s="1"/>
  <c r="P396" i="39"/>
  <c r="Q396" i="39" s="1"/>
  <c r="P397" i="39"/>
  <c r="Q397" i="39" s="1"/>
  <c r="P398" i="39"/>
  <c r="Q398" i="39" s="1"/>
  <c r="P399" i="39"/>
  <c r="Q399" i="39" s="1"/>
  <c r="P400" i="39"/>
  <c r="Q400" i="39" s="1"/>
  <c r="P401" i="39"/>
  <c r="Q401" i="39" s="1"/>
  <c r="P402" i="39"/>
  <c r="Q402" i="39" s="1"/>
  <c r="P404" i="39"/>
  <c r="Q404" i="39" s="1"/>
  <c r="P406" i="39"/>
  <c r="Q406" i="39" s="1"/>
  <c r="P407" i="39"/>
  <c r="Q407" i="39" s="1"/>
  <c r="P408" i="39"/>
  <c r="Q408" i="39" s="1"/>
  <c r="P409" i="39"/>
  <c r="Q409" i="39" s="1"/>
  <c r="P411" i="39"/>
  <c r="Q411" i="39" s="1"/>
  <c r="P413" i="39"/>
  <c r="Q413" i="39" s="1"/>
  <c r="P415" i="39"/>
  <c r="Q415" i="39" s="1"/>
  <c r="P416" i="39"/>
  <c r="Q416" i="39" s="1"/>
  <c r="P417" i="39"/>
  <c r="Q417" i="39" s="1"/>
  <c r="P418" i="39"/>
  <c r="Q418" i="39" s="1"/>
  <c r="P419" i="39"/>
  <c r="Q419" i="39" s="1"/>
  <c r="P421" i="39"/>
  <c r="Q421" i="39" s="1"/>
  <c r="P422" i="39"/>
  <c r="Q422" i="39" s="1"/>
  <c r="P423" i="39"/>
  <c r="Q423" i="39" s="1"/>
  <c r="P425" i="39"/>
  <c r="Q425" i="39" s="1"/>
  <c r="P426" i="39"/>
  <c r="Q426" i="39" s="1"/>
  <c r="P427" i="39"/>
  <c r="Q427" i="39" s="1"/>
  <c r="P428" i="39"/>
  <c r="Q428" i="39" s="1"/>
  <c r="P429" i="39"/>
  <c r="Q429" i="39" s="1"/>
  <c r="P431" i="39"/>
  <c r="Q431" i="39" s="1"/>
  <c r="P433" i="39"/>
  <c r="Q433" i="39" s="1"/>
  <c r="P434" i="39"/>
  <c r="Q434" i="39" s="1"/>
  <c r="P435" i="39"/>
  <c r="Q435" i="39" s="1"/>
  <c r="P437" i="39"/>
  <c r="Q437" i="39" s="1"/>
  <c r="P438" i="39"/>
  <c r="Q438" i="39" s="1"/>
  <c r="P439" i="39"/>
  <c r="Q439" i="39" s="1"/>
  <c r="P440" i="39"/>
  <c r="Q440" i="39" s="1"/>
  <c r="P441" i="39"/>
  <c r="Q441" i="39" s="1"/>
  <c r="P443" i="39"/>
  <c r="Q443" i="39" s="1"/>
  <c r="P445" i="39"/>
  <c r="Q445" i="39" s="1"/>
  <c r="P446" i="39"/>
  <c r="Q446" i="39" s="1"/>
  <c r="P447" i="39"/>
  <c r="Q447" i="39" s="1"/>
  <c r="P39" i="39"/>
  <c r="Q39" i="39" s="1"/>
  <c r="P40" i="39"/>
  <c r="Q40" i="39" s="1"/>
  <c r="P41" i="39"/>
  <c r="Q41" i="39" s="1"/>
  <c r="P42" i="39"/>
  <c r="Q42" i="39" s="1"/>
  <c r="P43" i="39"/>
  <c r="Q43" i="39" s="1"/>
  <c r="P44" i="39"/>
  <c r="Q44" i="39" s="1"/>
  <c r="P45" i="39"/>
  <c r="Q45" i="39" s="1"/>
  <c r="P46" i="39"/>
  <c r="P47" i="39"/>
  <c r="Q47" i="39" s="1"/>
  <c r="P48" i="39"/>
  <c r="Q48" i="39" s="1"/>
  <c r="P49" i="39"/>
  <c r="Q49" i="39" s="1"/>
  <c r="P50" i="39"/>
  <c r="Q50" i="39" s="1"/>
  <c r="P51" i="39"/>
  <c r="Q51" i="39" s="1"/>
  <c r="P52" i="39"/>
  <c r="Q52" i="39" s="1"/>
  <c r="P53" i="39"/>
  <c r="Q53" i="39" s="1"/>
  <c r="P54" i="39"/>
  <c r="Q54" i="39" s="1"/>
  <c r="P55" i="39"/>
  <c r="Q55" i="39" s="1"/>
  <c r="P56" i="39"/>
  <c r="Q56" i="39" s="1"/>
  <c r="P57" i="39"/>
  <c r="Q57" i="39" s="1"/>
  <c r="P58" i="39"/>
  <c r="Q58" i="39" s="1"/>
  <c r="P59" i="39"/>
  <c r="Q59" i="39" s="1"/>
  <c r="P60" i="39"/>
  <c r="Q60" i="39" s="1"/>
  <c r="P61" i="39"/>
  <c r="Q61" i="39" s="1"/>
  <c r="P62" i="39"/>
  <c r="Q62" i="39" s="1"/>
  <c r="P63" i="39"/>
  <c r="Q63" i="39" s="1"/>
  <c r="P64" i="39"/>
  <c r="Q64" i="39" s="1"/>
  <c r="P65" i="39"/>
  <c r="Q65" i="39" s="1"/>
  <c r="P66" i="39"/>
  <c r="Q66" i="39" s="1"/>
  <c r="P67" i="39"/>
  <c r="Q67" i="39" s="1"/>
  <c r="P68" i="39"/>
  <c r="Q68" i="39" s="1"/>
  <c r="P69" i="39"/>
  <c r="Q69" i="39" s="1"/>
  <c r="P70" i="39"/>
  <c r="Q70" i="39" s="1"/>
  <c r="P71" i="39"/>
  <c r="Q71" i="39" s="1"/>
  <c r="P72" i="39"/>
  <c r="Q72" i="39" s="1"/>
  <c r="P73" i="39"/>
  <c r="Q73" i="39" s="1"/>
  <c r="P74" i="39"/>
  <c r="Q74" i="39" s="1"/>
  <c r="P75" i="39"/>
  <c r="Q75" i="39" s="1"/>
  <c r="P76" i="39"/>
  <c r="Q76" i="39" s="1"/>
  <c r="P77" i="39"/>
  <c r="Q77" i="39" s="1"/>
  <c r="P78" i="39"/>
  <c r="Q78" i="39" s="1"/>
  <c r="P79" i="39"/>
  <c r="Q79" i="39" s="1"/>
  <c r="P80" i="39"/>
  <c r="Q80" i="39" s="1"/>
  <c r="P81" i="39"/>
  <c r="Q81" i="39" s="1"/>
  <c r="P82" i="39"/>
  <c r="Q82" i="39" s="1"/>
  <c r="P83" i="39"/>
  <c r="Q83" i="39" s="1"/>
  <c r="P84" i="39"/>
  <c r="Q84" i="39" s="1"/>
  <c r="P85" i="39"/>
  <c r="Q85" i="39" s="1"/>
  <c r="P86" i="39"/>
  <c r="Q86" i="39" s="1"/>
  <c r="P87" i="39"/>
  <c r="Q87" i="39" s="1"/>
  <c r="P88" i="39"/>
  <c r="Q88" i="39" s="1"/>
  <c r="P89" i="39"/>
  <c r="Q89" i="39" s="1"/>
  <c r="P90" i="39"/>
  <c r="Q90" i="39" s="1"/>
  <c r="P91" i="39"/>
  <c r="Q91" i="39" s="1"/>
  <c r="P92" i="39"/>
  <c r="Q92" i="39" s="1"/>
  <c r="P93" i="39"/>
  <c r="Q93" i="39" s="1"/>
  <c r="P94" i="39"/>
  <c r="Q94" i="39" s="1"/>
  <c r="P95" i="39"/>
  <c r="Q95" i="39" s="1"/>
  <c r="P96" i="39"/>
  <c r="Q96" i="39" s="1"/>
  <c r="P97" i="39"/>
  <c r="Q97" i="39" s="1"/>
  <c r="P98" i="39"/>
  <c r="Q98" i="39" s="1"/>
  <c r="P99" i="39"/>
  <c r="Q99" i="39" s="1"/>
  <c r="P100" i="39"/>
  <c r="Q100" i="39" s="1"/>
  <c r="P101" i="39"/>
  <c r="Q101" i="39" s="1"/>
  <c r="P102" i="39"/>
  <c r="Q102" i="39" s="1"/>
  <c r="P103" i="39"/>
  <c r="Q103" i="39" s="1"/>
  <c r="P104" i="39"/>
  <c r="Q104" i="39" s="1"/>
  <c r="P105" i="39"/>
  <c r="Q105" i="39" s="1"/>
  <c r="P106" i="39"/>
  <c r="Q106" i="39" s="1"/>
  <c r="P107" i="39"/>
  <c r="Q107" i="39" s="1"/>
  <c r="P108" i="39"/>
  <c r="Q108" i="39" s="1"/>
  <c r="P109" i="39"/>
  <c r="Q109" i="39" s="1"/>
  <c r="P110" i="39"/>
  <c r="Q110" i="39" s="1"/>
  <c r="P111" i="39"/>
  <c r="Q111" i="39" s="1"/>
  <c r="P112" i="39"/>
  <c r="Q112" i="39" s="1"/>
  <c r="P113" i="39"/>
  <c r="Q113" i="39" s="1"/>
  <c r="P114" i="39"/>
  <c r="Q114" i="39" s="1"/>
  <c r="P115" i="39"/>
  <c r="Q115" i="39" s="1"/>
  <c r="P116" i="39"/>
  <c r="Q116" i="39" s="1"/>
  <c r="P117" i="39"/>
  <c r="Q117" i="39" s="1"/>
  <c r="P118" i="39"/>
  <c r="Q118" i="39" s="1"/>
  <c r="P119" i="39"/>
  <c r="Q119" i="39" s="1"/>
  <c r="P120" i="39"/>
  <c r="Q120" i="39" s="1"/>
  <c r="P121" i="39"/>
  <c r="Q121" i="39" s="1"/>
  <c r="P122" i="39"/>
  <c r="Q122" i="39" s="1"/>
  <c r="P123" i="39"/>
  <c r="Q123" i="39" s="1"/>
  <c r="P124" i="39"/>
  <c r="Q124" i="39" s="1"/>
  <c r="P125" i="39"/>
  <c r="Q125" i="39" s="1"/>
  <c r="P126" i="39"/>
  <c r="Q126" i="39" s="1"/>
  <c r="P127" i="39"/>
  <c r="Q127" i="39" s="1"/>
  <c r="P128" i="39"/>
  <c r="Q128" i="39" s="1"/>
  <c r="P129" i="39"/>
  <c r="Q129" i="39" s="1"/>
  <c r="P130" i="39"/>
  <c r="Q130" i="39" s="1"/>
  <c r="P131" i="39"/>
  <c r="Q131" i="39" s="1"/>
  <c r="P132" i="39"/>
  <c r="Q132" i="39" s="1"/>
  <c r="P133" i="39"/>
  <c r="Q133" i="39" s="1"/>
  <c r="P134" i="39"/>
  <c r="Q134" i="39" s="1"/>
  <c r="P135" i="39"/>
  <c r="Q135" i="39" s="1"/>
  <c r="P136" i="39"/>
  <c r="Q136" i="39" s="1"/>
  <c r="P137" i="39"/>
  <c r="Q137" i="39" s="1"/>
  <c r="P138" i="39"/>
  <c r="Q138" i="39" s="1"/>
  <c r="P139" i="39"/>
  <c r="Q139" i="39" s="1"/>
  <c r="P140" i="39"/>
  <c r="Q140" i="39" s="1"/>
  <c r="P141" i="39"/>
  <c r="Q141" i="39" s="1"/>
  <c r="P142" i="39"/>
  <c r="Q142" i="39" s="1"/>
  <c r="P143" i="39"/>
  <c r="Q143" i="39" s="1"/>
  <c r="P144" i="39"/>
  <c r="Q144" i="39" s="1"/>
  <c r="P145" i="39"/>
  <c r="Q145" i="39" s="1"/>
  <c r="P146" i="39"/>
  <c r="Q146" i="39" s="1"/>
  <c r="P147" i="39"/>
  <c r="Q147" i="39" s="1"/>
  <c r="P148" i="39"/>
  <c r="Q148" i="39" s="1"/>
  <c r="P149" i="39"/>
  <c r="Q149" i="39" s="1"/>
  <c r="P150" i="39"/>
  <c r="Q150" i="39" s="1"/>
  <c r="P151" i="39"/>
  <c r="Q151" i="39" s="1"/>
  <c r="P152" i="39"/>
  <c r="Q152" i="39" s="1"/>
  <c r="P153" i="39"/>
  <c r="Q153" i="39" s="1"/>
  <c r="P154" i="39"/>
  <c r="Q154" i="39" s="1"/>
  <c r="P155" i="39"/>
  <c r="Q155" i="39" s="1"/>
  <c r="P156" i="39"/>
  <c r="Q156" i="39" s="1"/>
  <c r="P157" i="39"/>
  <c r="Q157" i="39" s="1"/>
  <c r="P158" i="39"/>
  <c r="Q158" i="39" s="1"/>
  <c r="P159" i="39"/>
  <c r="Q159" i="39" s="1"/>
  <c r="P160" i="39"/>
  <c r="Q160" i="39" s="1"/>
  <c r="P161" i="39"/>
  <c r="Q161" i="39" s="1"/>
  <c r="P162" i="39"/>
  <c r="Q162" i="39" s="1"/>
  <c r="P163" i="39"/>
  <c r="Q163" i="39" s="1"/>
  <c r="P164" i="39"/>
  <c r="Q164" i="39" s="1"/>
  <c r="P165" i="39"/>
  <c r="Q165" i="39" s="1"/>
  <c r="P166" i="39"/>
  <c r="Q166" i="39" s="1"/>
  <c r="P167" i="39"/>
  <c r="Q167" i="39" s="1"/>
  <c r="P168" i="39"/>
  <c r="Q168" i="39" s="1"/>
  <c r="P169" i="39"/>
  <c r="Q169" i="39" s="1"/>
  <c r="P170" i="39"/>
  <c r="Q170" i="39" s="1"/>
  <c r="P171" i="39"/>
  <c r="Q171" i="39" s="1"/>
  <c r="P172" i="39"/>
  <c r="Q172" i="39" s="1"/>
  <c r="P173" i="39"/>
  <c r="Q173" i="39" s="1"/>
  <c r="P174" i="39"/>
  <c r="Q174" i="39" s="1"/>
  <c r="P175" i="39"/>
  <c r="Q175" i="39" s="1"/>
  <c r="P176" i="39"/>
  <c r="Q176" i="39" s="1"/>
  <c r="P177" i="39"/>
  <c r="Q177" i="39" s="1"/>
  <c r="P178" i="39"/>
  <c r="Q178" i="39" s="1"/>
  <c r="P179" i="39"/>
  <c r="Q179" i="39" s="1"/>
  <c r="P180" i="39"/>
  <c r="Q180" i="39" s="1"/>
  <c r="P181" i="39"/>
  <c r="Q181" i="39" s="1"/>
  <c r="P182" i="39"/>
  <c r="Q182" i="39" s="1"/>
  <c r="P183" i="39"/>
  <c r="P184" i="39"/>
  <c r="Q184" i="39" s="1"/>
  <c r="P185" i="39"/>
  <c r="Q185" i="39" s="1"/>
  <c r="P186" i="39"/>
  <c r="Q186" i="39" s="1"/>
  <c r="P187" i="39"/>
  <c r="Q187" i="39" s="1"/>
  <c r="P188" i="39"/>
  <c r="Q188" i="39" s="1"/>
  <c r="P189" i="39"/>
  <c r="Q189" i="39" s="1"/>
  <c r="P190" i="39"/>
  <c r="Q190" i="39" s="1"/>
  <c r="P191" i="39"/>
  <c r="Q191" i="39" s="1"/>
  <c r="P192" i="39"/>
  <c r="Q192" i="39" s="1"/>
  <c r="P193" i="39"/>
  <c r="Q193" i="39" s="1"/>
  <c r="P194" i="39"/>
  <c r="Q194" i="39" s="1"/>
  <c r="P195" i="39"/>
  <c r="Q195" i="39" s="1"/>
  <c r="P196" i="39"/>
  <c r="Q196" i="39" s="1"/>
  <c r="P197" i="39"/>
  <c r="Q197" i="39" s="1"/>
  <c r="P198" i="39"/>
  <c r="Q198" i="39" s="1"/>
  <c r="P199" i="39"/>
  <c r="Q199" i="39" s="1"/>
  <c r="P200" i="39"/>
  <c r="Q200" i="39" s="1"/>
  <c r="P201" i="39"/>
  <c r="Q201" i="39" s="1"/>
  <c r="P202" i="39"/>
  <c r="Q202" i="39" s="1"/>
  <c r="P203" i="39"/>
  <c r="Q203" i="39" s="1"/>
  <c r="P204" i="39"/>
  <c r="Q204" i="39" s="1"/>
  <c r="P205" i="39"/>
  <c r="Q205" i="39" s="1"/>
  <c r="P206" i="39"/>
  <c r="Q206" i="39" s="1"/>
  <c r="P207" i="39"/>
  <c r="Q207" i="39" s="1"/>
  <c r="P208" i="39"/>
  <c r="Q208" i="39" s="1"/>
  <c r="P209" i="39"/>
  <c r="Q209" i="39" s="1"/>
  <c r="P210" i="39"/>
  <c r="Q210" i="39" s="1"/>
  <c r="P211" i="39"/>
  <c r="Q211" i="39" s="1"/>
  <c r="P212" i="39"/>
  <c r="Q212" i="39" s="1"/>
  <c r="P213" i="39"/>
  <c r="Q213" i="39" s="1"/>
  <c r="P214" i="39"/>
  <c r="Q214" i="39" s="1"/>
  <c r="P215" i="39"/>
  <c r="Q215" i="39" s="1"/>
  <c r="P216" i="39"/>
  <c r="Q216" i="39" s="1"/>
  <c r="P217" i="39"/>
  <c r="Q217" i="39" s="1"/>
  <c r="P218" i="39"/>
  <c r="Q218" i="39" s="1"/>
  <c r="P219" i="39"/>
  <c r="Q219" i="39" s="1"/>
  <c r="P220" i="39"/>
  <c r="Q220" i="39" s="1"/>
  <c r="P221" i="39"/>
  <c r="Q221" i="39" s="1"/>
  <c r="P222" i="39"/>
  <c r="Q222" i="39" s="1"/>
  <c r="P223" i="39"/>
  <c r="Q223" i="39" s="1"/>
  <c r="P224" i="39"/>
  <c r="Q224" i="39" s="1"/>
  <c r="P225" i="39"/>
  <c r="Q225" i="39" s="1"/>
  <c r="P226" i="39"/>
  <c r="Q226" i="39" s="1"/>
  <c r="P227" i="39"/>
  <c r="Q227" i="39" s="1"/>
  <c r="P228" i="39"/>
  <c r="Q228" i="39" s="1"/>
  <c r="P229" i="39"/>
  <c r="Q229" i="39" s="1"/>
  <c r="P230" i="39"/>
  <c r="Q230" i="39" s="1"/>
  <c r="P231" i="39"/>
  <c r="P232" i="39"/>
  <c r="Q232" i="39" s="1"/>
  <c r="P233" i="39"/>
  <c r="Q233" i="39" s="1"/>
  <c r="P234" i="39"/>
  <c r="Q234" i="39" s="1"/>
  <c r="P235" i="39"/>
  <c r="Q235" i="39" s="1"/>
  <c r="P236" i="39"/>
  <c r="Q236" i="39" s="1"/>
  <c r="P237" i="39"/>
  <c r="Q237" i="39" s="1"/>
  <c r="P238" i="39"/>
  <c r="Q238" i="39" s="1"/>
  <c r="P239" i="39"/>
  <c r="Q239" i="39" s="1"/>
  <c r="P240" i="39"/>
  <c r="Q240" i="39" s="1"/>
  <c r="P241" i="39"/>
  <c r="Q241" i="39" s="1"/>
  <c r="P242" i="39"/>
  <c r="Q242" i="39" s="1"/>
  <c r="P243" i="39"/>
  <c r="Q243" i="39" s="1"/>
  <c r="P244" i="39"/>
  <c r="Q244" i="39" s="1"/>
  <c r="P38" i="39"/>
  <c r="Q38" i="39" s="1"/>
  <c r="E10" i="40"/>
  <c r="I261" i="40"/>
  <c r="F493" i="40" s="1"/>
  <c r="I263" i="40"/>
  <c r="I264" i="40"/>
  <c r="I265" i="40"/>
  <c r="F494" i="40" s="1"/>
  <c r="I266" i="40"/>
  <c r="F495" i="40" s="1"/>
  <c r="I267" i="40"/>
  <c r="F496" i="40" s="1"/>
  <c r="I268" i="40"/>
  <c r="F497" i="40" s="1"/>
  <c r="I269" i="40"/>
  <c r="F498" i="40" s="1"/>
  <c r="I270" i="40"/>
  <c r="I271" i="40"/>
  <c r="F499" i="40" s="1"/>
  <c r="I273" i="40"/>
  <c r="F500" i="40" s="1"/>
  <c r="I274" i="40"/>
  <c r="I275" i="40"/>
  <c r="F501" i="40" s="1"/>
  <c r="I276" i="40"/>
  <c r="I277" i="40"/>
  <c r="F502" i="40" s="1"/>
  <c r="I278" i="40"/>
  <c r="I279" i="40"/>
  <c r="F503" i="40" s="1"/>
  <c r="I281" i="40"/>
  <c r="F504" i="40" s="1"/>
  <c r="H504" i="40" s="1"/>
  <c r="I282" i="40"/>
  <c r="F505" i="40" s="1"/>
  <c r="I283" i="40"/>
  <c r="I284" i="40"/>
  <c r="F506" i="40" s="1"/>
  <c r="I285" i="40"/>
  <c r="I286" i="40"/>
  <c r="F507" i="40" s="1"/>
  <c r="I287" i="40"/>
  <c r="I288" i="40"/>
  <c r="F508" i="40" s="1"/>
  <c r="I289" i="40"/>
  <c r="F509" i="40" s="1"/>
  <c r="I290" i="40"/>
  <c r="F510" i="40" s="1"/>
  <c r="I292" i="40"/>
  <c r="F511" i="40" s="1"/>
  <c r="I293" i="40"/>
  <c r="F512" i="40" s="1"/>
  <c r="I294" i="40"/>
  <c r="F513" i="40" s="1"/>
  <c r="I295" i="40"/>
  <c r="F514" i="40" s="1"/>
  <c r="I296" i="40"/>
  <c r="F515" i="40" s="1"/>
  <c r="I297" i="40"/>
  <c r="F516" i="40" s="1"/>
  <c r="I298" i="40"/>
  <c r="F517" i="40" s="1"/>
  <c r="I299" i="40"/>
  <c r="F518" i="40" s="1"/>
  <c r="I301" i="40"/>
  <c r="F519" i="40" s="1"/>
  <c r="I302" i="40"/>
  <c r="F520" i="40" s="1"/>
  <c r="I303" i="40"/>
  <c r="F521" i="40" s="1"/>
  <c r="I304" i="40"/>
  <c r="I305" i="40"/>
  <c r="F522" i="40" s="1"/>
  <c r="I306" i="40"/>
  <c r="I307" i="40"/>
  <c r="F523" i="40" s="1"/>
  <c r="I309" i="40"/>
  <c r="F524" i="40" s="1"/>
  <c r="I311" i="40"/>
  <c r="F525" i="40" s="1"/>
  <c r="I312" i="40"/>
  <c r="I313" i="40"/>
  <c r="F526" i="40" s="1"/>
  <c r="I315" i="40"/>
  <c r="F527" i="40" s="1"/>
  <c r="I317" i="40"/>
  <c r="F528" i="40" s="1"/>
  <c r="I318" i="40"/>
  <c r="I319" i="40"/>
  <c r="F529" i="40" s="1"/>
  <c r="I321" i="40"/>
  <c r="F530" i="40" s="1"/>
  <c r="I322" i="40"/>
  <c r="I323" i="40"/>
  <c r="F531" i="40" s="1"/>
  <c r="I325" i="40"/>
  <c r="F532" i="40" s="1"/>
  <c r="I326" i="40"/>
  <c r="I327" i="40"/>
  <c r="F533" i="40" s="1"/>
  <c r="I328" i="40"/>
  <c r="I329" i="40"/>
  <c r="F534" i="40" s="1"/>
  <c r="I330" i="40"/>
  <c r="I331" i="40"/>
  <c r="F535" i="40" s="1"/>
  <c r="I332" i="40"/>
  <c r="F536" i="40" s="1"/>
  <c r="I334" i="40"/>
  <c r="F537" i="40" s="1"/>
  <c r="I335" i="40"/>
  <c r="I336" i="40"/>
  <c r="F538" i="40" s="1"/>
  <c r="I338" i="40"/>
  <c r="F539" i="40" s="1"/>
  <c r="I339" i="40"/>
  <c r="I340" i="40"/>
  <c r="F540" i="40" s="1"/>
  <c r="I342" i="40"/>
  <c r="F541" i="40" s="1"/>
  <c r="I344" i="40"/>
  <c r="F542" i="40" s="1"/>
  <c r="I345" i="40"/>
  <c r="I346" i="40"/>
  <c r="F543" i="40" s="1"/>
  <c r="I347" i="40"/>
  <c r="I348" i="40"/>
  <c r="F544" i="40" s="1"/>
  <c r="I350" i="40"/>
  <c r="F545" i="40" s="1"/>
  <c r="I352" i="40"/>
  <c r="F546" i="40" s="1"/>
  <c r="I354" i="40"/>
  <c r="F547" i="40" s="1"/>
  <c r="I356" i="40"/>
  <c r="F548" i="40" s="1"/>
  <c r="I357" i="40"/>
  <c r="F549" i="40" s="1"/>
  <c r="I358" i="40"/>
  <c r="F550" i="40" s="1"/>
  <c r="I359" i="40"/>
  <c r="F551" i="40" s="1"/>
  <c r="I360" i="40"/>
  <c r="F552" i="40" s="1"/>
  <c r="I361" i="40"/>
  <c r="F553" i="40" s="1"/>
  <c r="I362" i="40"/>
  <c r="F554" i="40" s="1"/>
  <c r="I363" i="40"/>
  <c r="F555" i="40" s="1"/>
  <c r="I364" i="40"/>
  <c r="F556" i="40" s="1"/>
  <c r="I365" i="40"/>
  <c r="F557" i="40" s="1"/>
  <c r="I366" i="40"/>
  <c r="F558" i="40" s="1"/>
  <c r="I367" i="40"/>
  <c r="F559" i="40" s="1"/>
  <c r="I368" i="40"/>
  <c r="F560" i="40" s="1"/>
  <c r="I369" i="40"/>
  <c r="F561" i="40" s="1"/>
  <c r="I370" i="40"/>
  <c r="F562" i="40" s="1"/>
  <c r="I371" i="40"/>
  <c r="F563" i="40" s="1"/>
  <c r="H563" i="40" s="1"/>
  <c r="I372" i="40"/>
  <c r="F564" i="40" s="1"/>
  <c r="I373" i="40"/>
  <c r="F565" i="40" s="1"/>
  <c r="I374" i="40"/>
  <c r="F566" i="40" s="1"/>
  <c r="I375" i="40"/>
  <c r="F567" i="40" s="1"/>
  <c r="I376" i="40"/>
  <c r="F568" i="40" s="1"/>
  <c r="I377" i="40"/>
  <c r="F569" i="40" s="1"/>
  <c r="I378" i="40"/>
  <c r="F570" i="40" s="1"/>
  <c r="I379" i="40"/>
  <c r="F571" i="40" s="1"/>
  <c r="H571" i="40" s="1"/>
  <c r="I380" i="40"/>
  <c r="F572" i="40" s="1"/>
  <c r="I381" i="40"/>
  <c r="F573" i="40" s="1"/>
  <c r="I382" i="40"/>
  <c r="F574" i="40" s="1"/>
  <c r="I383" i="40"/>
  <c r="F575" i="40" s="1"/>
  <c r="I384" i="40"/>
  <c r="F576" i="40" s="1"/>
  <c r="I385" i="40"/>
  <c r="F577" i="40" s="1"/>
  <c r="I386" i="40"/>
  <c r="F578" i="40" s="1"/>
  <c r="I387" i="40"/>
  <c r="F579" i="40" s="1"/>
  <c r="I388" i="40"/>
  <c r="F580" i="40" s="1"/>
  <c r="I389" i="40"/>
  <c r="F581" i="40" s="1"/>
  <c r="I390" i="40"/>
  <c r="F582" i="40" s="1"/>
  <c r="I391" i="40"/>
  <c r="F583" i="40" s="1"/>
  <c r="I392" i="40"/>
  <c r="F584" i="40" s="1"/>
  <c r="I393" i="40"/>
  <c r="F585" i="40" s="1"/>
  <c r="I394" i="40"/>
  <c r="F586" i="40" s="1"/>
  <c r="I395" i="40"/>
  <c r="F587" i="40" s="1"/>
  <c r="I396" i="40"/>
  <c r="F588" i="40" s="1"/>
  <c r="I397" i="40"/>
  <c r="F589" i="40" s="1"/>
  <c r="I398" i="40"/>
  <c r="F590" i="40" s="1"/>
  <c r="I399" i="40"/>
  <c r="F591" i="40" s="1"/>
  <c r="I400" i="40"/>
  <c r="F592" i="40" s="1"/>
  <c r="I401" i="40"/>
  <c r="F593" i="40" s="1"/>
  <c r="I402" i="40"/>
  <c r="F594" i="40" s="1"/>
  <c r="I403" i="40"/>
  <c r="F595" i="40" s="1"/>
  <c r="H595" i="40" s="1"/>
  <c r="I404" i="40"/>
  <c r="F596" i="40" s="1"/>
  <c r="I405" i="40"/>
  <c r="F597" i="40" s="1"/>
  <c r="I406" i="40"/>
  <c r="F598" i="40" s="1"/>
  <c r="I407" i="40"/>
  <c r="F599" i="40" s="1"/>
  <c r="I408" i="40"/>
  <c r="F600" i="40" s="1"/>
  <c r="I409" i="40"/>
  <c r="F601" i="40" s="1"/>
  <c r="I410" i="40"/>
  <c r="F602" i="40" s="1"/>
  <c r="I411" i="40"/>
  <c r="F603" i="40" s="1"/>
  <c r="I412" i="40"/>
  <c r="F604" i="40" s="1"/>
  <c r="I413" i="40"/>
  <c r="F605" i="40" s="1"/>
  <c r="I414" i="40"/>
  <c r="F606" i="40" s="1"/>
  <c r="I415" i="40"/>
  <c r="I416" i="40"/>
  <c r="F607" i="40" s="1"/>
  <c r="I418" i="40"/>
  <c r="F608" i="40" s="1"/>
  <c r="I419" i="40"/>
  <c r="I420" i="40"/>
  <c r="F609" i="40" s="1"/>
  <c r="I421" i="40"/>
  <c r="F610" i="40" s="1"/>
  <c r="I423" i="40"/>
  <c r="F611" i="40" s="1"/>
  <c r="I425" i="40"/>
  <c r="F612" i="40" s="1"/>
  <c r="I427" i="40"/>
  <c r="F613" i="40" s="1"/>
  <c r="I428" i="40"/>
  <c r="I429" i="40"/>
  <c r="F614" i="40" s="1"/>
  <c r="I430" i="40"/>
  <c r="F615" i="40" s="1"/>
  <c r="I431" i="40"/>
  <c r="F616" i="40" s="1"/>
  <c r="I433" i="40"/>
  <c r="F617" i="40" s="1"/>
  <c r="I434" i="40"/>
  <c r="I435" i="40"/>
  <c r="F618" i="40" s="1"/>
  <c r="I437" i="40"/>
  <c r="F619" i="40" s="1"/>
  <c r="I438" i="40"/>
  <c r="I439" i="40"/>
  <c r="F620" i="40" s="1"/>
  <c r="I440" i="40"/>
  <c r="I441" i="40"/>
  <c r="F621" i="40" s="1"/>
  <c r="I443" i="40"/>
  <c r="F622" i="40" s="1"/>
  <c r="I445" i="40"/>
  <c r="F623" i="40" s="1"/>
  <c r="I447" i="40"/>
  <c r="F624" i="40" s="1"/>
  <c r="I449" i="40"/>
  <c r="F625" i="40" s="1"/>
  <c r="I450" i="40"/>
  <c r="I451" i="40"/>
  <c r="F626" i="40" s="1"/>
  <c r="I452" i="40"/>
  <c r="F627" i="40" s="1"/>
  <c r="I453" i="40"/>
  <c r="F628" i="40" s="1"/>
  <c r="I455" i="40"/>
  <c r="F629" i="40" s="1"/>
  <c r="I456" i="40"/>
  <c r="I457" i="40"/>
  <c r="F630" i="40" s="1"/>
  <c r="I459" i="40"/>
  <c r="F631" i="40" s="1"/>
  <c r="I260" i="40"/>
  <c r="I50" i="40"/>
  <c r="I51" i="40"/>
  <c r="I52" i="40"/>
  <c r="I53" i="40"/>
  <c r="I54" i="40"/>
  <c r="I55" i="40"/>
  <c r="I56" i="40"/>
  <c r="I57" i="40"/>
  <c r="I58" i="40"/>
  <c r="I59" i="40"/>
  <c r="I60" i="40"/>
  <c r="I61" i="40"/>
  <c r="I62" i="40"/>
  <c r="I63" i="40"/>
  <c r="I64" i="40"/>
  <c r="I65" i="40"/>
  <c r="I66" i="40"/>
  <c r="I67" i="40"/>
  <c r="I68" i="40"/>
  <c r="I69" i="40"/>
  <c r="I70" i="40"/>
  <c r="I71" i="40"/>
  <c r="I72" i="40"/>
  <c r="I73" i="40"/>
  <c r="I74" i="40"/>
  <c r="I75" i="40"/>
  <c r="I76" i="40"/>
  <c r="I77" i="40"/>
  <c r="I78" i="40"/>
  <c r="I79" i="40"/>
  <c r="I80" i="40"/>
  <c r="I81" i="40"/>
  <c r="I82" i="40"/>
  <c r="I83" i="40"/>
  <c r="I84" i="40"/>
  <c r="I85" i="40"/>
  <c r="I86" i="40"/>
  <c r="I87" i="40"/>
  <c r="I88" i="40"/>
  <c r="I89" i="40"/>
  <c r="I90" i="40"/>
  <c r="I91" i="40"/>
  <c r="I92" i="40"/>
  <c r="I93" i="40"/>
  <c r="I94" i="40"/>
  <c r="I95" i="40"/>
  <c r="I96" i="40"/>
  <c r="I97" i="40"/>
  <c r="I98" i="40"/>
  <c r="I99" i="40"/>
  <c r="I100" i="40"/>
  <c r="I101" i="40"/>
  <c r="I102" i="40"/>
  <c r="I103" i="40"/>
  <c r="I104" i="40"/>
  <c r="I105" i="40"/>
  <c r="I106" i="40"/>
  <c r="I107" i="40"/>
  <c r="I108" i="40"/>
  <c r="I109" i="40"/>
  <c r="I110" i="40"/>
  <c r="I111" i="40"/>
  <c r="I112" i="40"/>
  <c r="I113" i="40"/>
  <c r="I114" i="40"/>
  <c r="I115" i="40"/>
  <c r="I116" i="40"/>
  <c r="I117" i="40"/>
  <c r="I118" i="40"/>
  <c r="I119" i="40"/>
  <c r="I120" i="40"/>
  <c r="I121" i="40"/>
  <c r="I122" i="40"/>
  <c r="I123" i="40"/>
  <c r="I124" i="40"/>
  <c r="I125" i="40"/>
  <c r="I126" i="40"/>
  <c r="I127" i="40"/>
  <c r="I128" i="40"/>
  <c r="I129" i="40"/>
  <c r="I130" i="40"/>
  <c r="I13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I145" i="40"/>
  <c r="I146" i="40"/>
  <c r="I147" i="40"/>
  <c r="I148" i="40"/>
  <c r="I149" i="40"/>
  <c r="I150" i="40"/>
  <c r="I151" i="40"/>
  <c r="I152" i="40"/>
  <c r="I153" i="40"/>
  <c r="I154" i="40"/>
  <c r="I155" i="40"/>
  <c r="I156" i="40"/>
  <c r="I157" i="40"/>
  <c r="I158" i="40"/>
  <c r="I159" i="40"/>
  <c r="I160" i="40"/>
  <c r="I161" i="40"/>
  <c r="I162" i="40"/>
  <c r="I163" i="40"/>
  <c r="I164" i="40"/>
  <c r="I165" i="40"/>
  <c r="I166" i="40"/>
  <c r="I167" i="40"/>
  <c r="I168" i="40"/>
  <c r="I169" i="40"/>
  <c r="I170" i="40"/>
  <c r="I171" i="40"/>
  <c r="I172" i="40"/>
  <c r="I173" i="40"/>
  <c r="I174" i="40"/>
  <c r="I175" i="40"/>
  <c r="I176" i="40"/>
  <c r="I177" i="40"/>
  <c r="I178" i="40"/>
  <c r="I179" i="40"/>
  <c r="I180" i="40"/>
  <c r="I181" i="40"/>
  <c r="I182" i="40"/>
  <c r="I183" i="40"/>
  <c r="I184" i="40"/>
  <c r="I185" i="40"/>
  <c r="I186" i="40"/>
  <c r="I187" i="40"/>
  <c r="I188" i="40"/>
  <c r="I189" i="40"/>
  <c r="I190" i="40"/>
  <c r="I191" i="40"/>
  <c r="I192" i="40"/>
  <c r="I193" i="40"/>
  <c r="I194" i="40"/>
  <c r="I195" i="40"/>
  <c r="I196" i="40"/>
  <c r="I197" i="40"/>
  <c r="I198" i="40"/>
  <c r="I199" i="40"/>
  <c r="I200" i="40"/>
  <c r="I201" i="40"/>
  <c r="I202" i="40"/>
  <c r="I203" i="40"/>
  <c r="I204" i="40"/>
  <c r="I205" i="40"/>
  <c r="I206" i="40"/>
  <c r="I207" i="40"/>
  <c r="I208" i="40"/>
  <c r="I209" i="40"/>
  <c r="I210" i="40"/>
  <c r="I211" i="40"/>
  <c r="I212" i="40"/>
  <c r="I213" i="40"/>
  <c r="I214" i="40"/>
  <c r="I215" i="40"/>
  <c r="I216" i="40"/>
  <c r="I217" i="40"/>
  <c r="I218" i="40"/>
  <c r="I219" i="40"/>
  <c r="I220" i="40"/>
  <c r="I221" i="40"/>
  <c r="I222" i="40"/>
  <c r="I223" i="40"/>
  <c r="I224" i="40"/>
  <c r="I225" i="40"/>
  <c r="I226" i="40"/>
  <c r="I227" i="40"/>
  <c r="I228" i="40"/>
  <c r="I229" i="40"/>
  <c r="I230" i="40"/>
  <c r="I231" i="40"/>
  <c r="I232" i="40"/>
  <c r="I233" i="40"/>
  <c r="I234" i="40"/>
  <c r="I235" i="40"/>
  <c r="I236" i="40"/>
  <c r="I237" i="40"/>
  <c r="I238" i="40"/>
  <c r="I239" i="40"/>
  <c r="I240" i="40"/>
  <c r="I241" i="40"/>
  <c r="I242" i="40"/>
  <c r="I243" i="40"/>
  <c r="I244" i="40"/>
  <c r="I245" i="40"/>
  <c r="I246" i="40"/>
  <c r="I247" i="40"/>
  <c r="I248" i="40"/>
  <c r="I249" i="40"/>
  <c r="I250" i="40"/>
  <c r="I251" i="40"/>
  <c r="I252" i="40"/>
  <c r="I253" i="40"/>
  <c r="I254" i="40"/>
  <c r="I255" i="40"/>
  <c r="I49" i="40"/>
  <c r="I30" i="40"/>
  <c r="I33" i="40"/>
  <c r="C33" i="41"/>
  <c r="C29" i="41"/>
  <c r="J28" i="41"/>
  <c r="J26" i="41"/>
  <c r="C25" i="41"/>
  <c r="J22" i="41"/>
  <c r="J21" i="41"/>
  <c r="J20" i="41"/>
  <c r="F18" i="41"/>
  <c r="J16" i="41"/>
  <c r="L16" i="41" s="1"/>
  <c r="D10" i="41"/>
  <c r="F10" i="41" s="1"/>
  <c r="G12" i="41" s="1"/>
  <c r="D15" i="41"/>
  <c r="F15" i="41" s="1"/>
  <c r="D493" i="40"/>
  <c r="S54" i="40"/>
  <c r="S70" i="40"/>
  <c r="S86" i="40"/>
  <c r="S111" i="40"/>
  <c r="S118" i="40"/>
  <c r="S149" i="40"/>
  <c r="S152" i="40"/>
  <c r="S157" i="40"/>
  <c r="S165" i="40"/>
  <c r="S197" i="40"/>
  <c r="S200" i="40"/>
  <c r="S212" i="40"/>
  <c r="S217" i="40"/>
  <c r="S220" i="40"/>
  <c r="S229" i="40"/>
  <c r="S230" i="40"/>
  <c r="S240" i="40"/>
  <c r="S249" i="40"/>
  <c r="S272" i="40"/>
  <c r="S275" i="40"/>
  <c r="S286" i="40"/>
  <c r="S288" i="40"/>
  <c r="S291" i="40"/>
  <c r="S304" i="40"/>
  <c r="S307" i="40"/>
  <c r="S320" i="40"/>
  <c r="S325" i="40"/>
  <c r="S336" i="40"/>
  <c r="S352" i="40"/>
  <c r="S357" i="40"/>
  <c r="S368" i="40"/>
  <c r="S379" i="40"/>
  <c r="S384" i="40"/>
  <c r="S389" i="40"/>
  <c r="S393" i="40"/>
  <c r="S400" i="40"/>
  <c r="S411" i="40"/>
  <c r="S414" i="40"/>
  <c r="S421" i="40"/>
  <c r="S431" i="40"/>
  <c r="S432" i="40"/>
  <c r="S448" i="40"/>
  <c r="S453" i="40"/>
  <c r="S457" i="40"/>
  <c r="Q400" i="40"/>
  <c r="Q402" i="40"/>
  <c r="Q416" i="40"/>
  <c r="Q432" i="40"/>
  <c r="Q434" i="40"/>
  <c r="Q443" i="40"/>
  <c r="Q448" i="40"/>
  <c r="E386" i="40"/>
  <c r="E387" i="40"/>
  <c r="E388" i="40"/>
  <c r="E389" i="40"/>
  <c r="E390" i="40"/>
  <c r="E391" i="40"/>
  <c r="E392" i="40"/>
  <c r="E393" i="40"/>
  <c r="E394" i="40"/>
  <c r="E395" i="40"/>
  <c r="E396" i="40"/>
  <c r="E397" i="40"/>
  <c r="E398" i="40"/>
  <c r="E399" i="40"/>
  <c r="E400" i="40"/>
  <c r="E401" i="40"/>
  <c r="E402" i="40"/>
  <c r="E403" i="40"/>
  <c r="E404" i="40"/>
  <c r="E405" i="40"/>
  <c r="E406" i="40"/>
  <c r="E407" i="40"/>
  <c r="E408" i="40"/>
  <c r="E409" i="40"/>
  <c r="E410" i="40"/>
  <c r="E411" i="40"/>
  <c r="E412" i="40"/>
  <c r="E413" i="40"/>
  <c r="E414" i="40"/>
  <c r="E415" i="40"/>
  <c r="E416" i="40"/>
  <c r="E417" i="40"/>
  <c r="E418" i="40"/>
  <c r="E419" i="40"/>
  <c r="E420" i="40"/>
  <c r="E421" i="40"/>
  <c r="E422" i="40"/>
  <c r="E423" i="40"/>
  <c r="E424" i="40"/>
  <c r="E425" i="40"/>
  <c r="E426" i="40"/>
  <c r="E427" i="40"/>
  <c r="E428" i="40"/>
  <c r="E429" i="40"/>
  <c r="E430" i="40"/>
  <c r="E431" i="40"/>
  <c r="E432" i="40"/>
  <c r="E433" i="40"/>
  <c r="E434" i="40"/>
  <c r="E435" i="40"/>
  <c r="E436" i="40"/>
  <c r="E437" i="40"/>
  <c r="E438" i="40"/>
  <c r="E439" i="40"/>
  <c r="E440" i="40"/>
  <c r="E441" i="40"/>
  <c r="E442" i="40"/>
  <c r="E443" i="40"/>
  <c r="E444" i="40"/>
  <c r="E445" i="40"/>
  <c r="E446" i="40"/>
  <c r="E447" i="40"/>
  <c r="E448" i="40"/>
  <c r="E449" i="40"/>
  <c r="E450" i="40"/>
  <c r="E451" i="40"/>
  <c r="E452" i="40"/>
  <c r="E453" i="40"/>
  <c r="E454" i="40"/>
  <c r="E455" i="40"/>
  <c r="E456" i="40"/>
  <c r="E457" i="40"/>
  <c r="E458" i="40"/>
  <c r="E459" i="40"/>
  <c r="A29" i="38"/>
  <c r="E14" i="38" s="1"/>
  <c r="F14" i="38" s="1"/>
  <c r="N470" i="40"/>
  <c r="F472" i="40"/>
  <c r="F475" i="40" s="1"/>
  <c r="F477" i="40" s="1"/>
  <c r="E385" i="40"/>
  <c r="Q384" i="40"/>
  <c r="E384" i="40"/>
  <c r="E383" i="40"/>
  <c r="E382" i="40"/>
  <c r="E381" i="40"/>
  <c r="E380" i="40"/>
  <c r="E379" i="40"/>
  <c r="E378" i="40"/>
  <c r="E377" i="40"/>
  <c r="E376" i="40"/>
  <c r="E375" i="40"/>
  <c r="E374" i="40"/>
  <c r="E373" i="40"/>
  <c r="E372" i="40"/>
  <c r="E371" i="40"/>
  <c r="E370" i="40"/>
  <c r="E369" i="40"/>
  <c r="Q368" i="40"/>
  <c r="E368" i="40"/>
  <c r="E367" i="40"/>
  <c r="E366" i="40"/>
  <c r="E365" i="40"/>
  <c r="E364" i="40"/>
  <c r="E363" i="40"/>
  <c r="E362" i="40"/>
  <c r="Q361" i="40"/>
  <c r="E361" i="40"/>
  <c r="E360" i="40"/>
  <c r="E359" i="40"/>
  <c r="E358" i="40"/>
  <c r="E357" i="40"/>
  <c r="E356" i="40"/>
  <c r="E355" i="40"/>
  <c r="E354" i="40"/>
  <c r="E353" i="40"/>
  <c r="Q352" i="40"/>
  <c r="E352" i="40"/>
  <c r="E351" i="40"/>
  <c r="E350" i="40"/>
  <c r="E349" i="40"/>
  <c r="E348" i="40"/>
  <c r="E347" i="40"/>
  <c r="E346" i="40"/>
  <c r="E345" i="40"/>
  <c r="E344" i="40"/>
  <c r="E343" i="40"/>
  <c r="E342" i="40"/>
  <c r="E341" i="40"/>
  <c r="E340" i="40"/>
  <c r="E339" i="40"/>
  <c r="E338" i="40"/>
  <c r="E337" i="40"/>
  <c r="Q336" i="40"/>
  <c r="E336" i="40"/>
  <c r="E335" i="40"/>
  <c r="E334" i="40"/>
  <c r="E333" i="40"/>
  <c r="E332" i="40"/>
  <c r="E331" i="40"/>
  <c r="E330" i="40"/>
  <c r="Q329" i="40"/>
  <c r="E329" i="40"/>
  <c r="E328" i="40"/>
  <c r="E327" i="40"/>
  <c r="E326" i="40"/>
  <c r="E325" i="40"/>
  <c r="E324" i="40"/>
  <c r="E323" i="40"/>
  <c r="Q322" i="40"/>
  <c r="E322" i="40"/>
  <c r="E321" i="40"/>
  <c r="Q320" i="40"/>
  <c r="E320" i="40"/>
  <c r="E319" i="40"/>
  <c r="E318" i="40"/>
  <c r="E317" i="40"/>
  <c r="E316" i="40"/>
  <c r="E315" i="40"/>
  <c r="E314" i="40"/>
  <c r="E313" i="40"/>
  <c r="E312" i="40"/>
  <c r="E311" i="40"/>
  <c r="E310" i="40"/>
  <c r="E309" i="40"/>
  <c r="E308" i="40"/>
  <c r="Q307" i="40"/>
  <c r="E307" i="40"/>
  <c r="E306" i="40"/>
  <c r="E305" i="40"/>
  <c r="Q304" i="40"/>
  <c r="E304" i="40"/>
  <c r="E303" i="40"/>
  <c r="E302" i="40"/>
  <c r="E301" i="40"/>
  <c r="E300" i="40"/>
  <c r="E299" i="40"/>
  <c r="E298" i="40"/>
  <c r="E297" i="40"/>
  <c r="E296" i="40"/>
  <c r="E295" i="40"/>
  <c r="E294" i="40"/>
  <c r="E293" i="40"/>
  <c r="E292" i="40"/>
  <c r="Q291" i="40"/>
  <c r="E291" i="40"/>
  <c r="E290" i="40"/>
  <c r="E289" i="40"/>
  <c r="Q288" i="40"/>
  <c r="E288" i="40"/>
  <c r="E287" i="40"/>
  <c r="E286" i="40"/>
  <c r="E285" i="40"/>
  <c r="E284" i="40"/>
  <c r="E283" i="40"/>
  <c r="E282" i="40"/>
  <c r="Q281" i="40"/>
  <c r="E281" i="40"/>
  <c r="E280" i="40"/>
  <c r="E279" i="40"/>
  <c r="E278" i="40"/>
  <c r="E277" i="40"/>
  <c r="E276" i="40"/>
  <c r="Q275" i="40"/>
  <c r="E275" i="40"/>
  <c r="Q274" i="40"/>
  <c r="E274" i="40"/>
  <c r="E273" i="40"/>
  <c r="Q272" i="40"/>
  <c r="E272" i="40"/>
  <c r="E271" i="40"/>
  <c r="E270" i="40"/>
  <c r="E269" i="40"/>
  <c r="E268" i="40"/>
  <c r="E267" i="40"/>
  <c r="E266" i="40"/>
  <c r="E265" i="40"/>
  <c r="E264" i="40"/>
  <c r="E263" i="40"/>
  <c r="E262" i="40"/>
  <c r="E261" i="40"/>
  <c r="E260" i="40"/>
  <c r="Q255" i="40"/>
  <c r="E255" i="40"/>
  <c r="E254" i="40"/>
  <c r="E253" i="40"/>
  <c r="E252" i="40"/>
  <c r="E251" i="40"/>
  <c r="E250" i="40"/>
  <c r="Q249" i="40"/>
  <c r="E249" i="40"/>
  <c r="E248" i="40"/>
  <c r="E247" i="40"/>
  <c r="E246" i="40"/>
  <c r="E245" i="40"/>
  <c r="E244" i="40"/>
  <c r="E243" i="40"/>
  <c r="E242" i="40"/>
  <c r="E241" i="40"/>
  <c r="Q240" i="40"/>
  <c r="E240" i="40"/>
  <c r="E239" i="40"/>
  <c r="E238" i="40"/>
  <c r="E237" i="40"/>
  <c r="E236" i="40"/>
  <c r="E235" i="40"/>
  <c r="E234" i="40"/>
  <c r="E233" i="40"/>
  <c r="E232" i="40"/>
  <c r="E231" i="40"/>
  <c r="E230" i="40"/>
  <c r="E229" i="40"/>
  <c r="E228" i="40"/>
  <c r="E227" i="40"/>
  <c r="E226" i="40"/>
  <c r="E225" i="40"/>
  <c r="E224" i="40"/>
  <c r="E223" i="40"/>
  <c r="E222" i="40"/>
  <c r="E221" i="40"/>
  <c r="Q220" i="40"/>
  <c r="E220" i="40"/>
  <c r="E219" i="40"/>
  <c r="E218" i="40"/>
  <c r="Q217" i="40"/>
  <c r="E217" i="40"/>
  <c r="E216" i="40"/>
  <c r="E215" i="40"/>
  <c r="Q214" i="40"/>
  <c r="E214" i="40"/>
  <c r="E213" i="40"/>
  <c r="Q212" i="40"/>
  <c r="E212" i="40"/>
  <c r="E211" i="40"/>
  <c r="E210" i="40"/>
  <c r="E209" i="40"/>
  <c r="E208" i="40"/>
  <c r="E207" i="40"/>
  <c r="E206" i="40"/>
  <c r="E205" i="40"/>
  <c r="E204" i="40"/>
  <c r="E203" i="40"/>
  <c r="E202" i="40"/>
  <c r="E201" i="40"/>
  <c r="E200" i="40"/>
  <c r="E199" i="40"/>
  <c r="Q198" i="40"/>
  <c r="E198" i="40"/>
  <c r="E197" i="40"/>
  <c r="Q196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Q176" i="40"/>
  <c r="E176" i="40"/>
  <c r="E175" i="40"/>
  <c r="E174" i="40"/>
  <c r="E173" i="40"/>
  <c r="E172" i="40"/>
  <c r="E171" i="40"/>
  <c r="E170" i="40"/>
  <c r="E169" i="40"/>
  <c r="E168" i="40"/>
  <c r="E167" i="40"/>
  <c r="Q166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Q152" i="40"/>
  <c r="E152" i="40"/>
  <c r="E151" i="40"/>
  <c r="E150" i="40"/>
  <c r="E149" i="40"/>
  <c r="E148" i="40"/>
  <c r="E147" i="40"/>
  <c r="E146" i="40"/>
  <c r="E145" i="40"/>
  <c r="E144" i="40"/>
  <c r="E143" i="40"/>
  <c r="E142" i="40"/>
  <c r="E141" i="40"/>
  <c r="E140" i="40"/>
  <c r="E139" i="40"/>
  <c r="E138" i="40"/>
  <c r="E137" i="40"/>
  <c r="E136" i="40"/>
  <c r="E135" i="40"/>
  <c r="E134" i="40"/>
  <c r="E133" i="40"/>
  <c r="Q132" i="40"/>
  <c r="E132" i="40"/>
  <c r="E131" i="40"/>
  <c r="E130" i="40"/>
  <c r="Q129" i="40"/>
  <c r="E129" i="40"/>
  <c r="E128" i="40"/>
  <c r="E127" i="40"/>
  <c r="E126" i="40"/>
  <c r="E125" i="40"/>
  <c r="E124" i="40"/>
  <c r="E123" i="40"/>
  <c r="E122" i="40"/>
  <c r="E121" i="40"/>
  <c r="E120" i="40"/>
  <c r="E119" i="40"/>
  <c r="Q118" i="40"/>
  <c r="E118" i="40"/>
  <c r="E117" i="40"/>
  <c r="E116" i="40"/>
  <c r="E115" i="40"/>
  <c r="E114" i="40"/>
  <c r="E113" i="40"/>
  <c r="E112" i="40"/>
  <c r="E111" i="40"/>
  <c r="E110" i="40"/>
  <c r="E109" i="40"/>
  <c r="E108" i="40"/>
  <c r="E107" i="40"/>
  <c r="E106" i="40"/>
  <c r="E105" i="40"/>
  <c r="E104" i="40"/>
  <c r="E103" i="40"/>
  <c r="E102" i="40"/>
  <c r="E101" i="40"/>
  <c r="E100" i="40"/>
  <c r="E99" i="40"/>
  <c r="E98" i="40"/>
  <c r="Q97" i="40"/>
  <c r="E97" i="40"/>
  <c r="E96" i="40"/>
  <c r="E95" i="40"/>
  <c r="E94" i="40"/>
  <c r="E93" i="40"/>
  <c r="E92" i="40"/>
  <c r="E91" i="40"/>
  <c r="E90" i="40"/>
  <c r="E89" i="40"/>
  <c r="E88" i="40"/>
  <c r="E87" i="40"/>
  <c r="Q86" i="40"/>
  <c r="E86" i="40"/>
  <c r="E85" i="40"/>
  <c r="E84" i="40"/>
  <c r="Q83" i="40"/>
  <c r="E83" i="40"/>
  <c r="E82" i="40"/>
  <c r="E81" i="40"/>
  <c r="E80" i="40"/>
  <c r="E79" i="40"/>
  <c r="E78" i="40"/>
  <c r="E77" i="40"/>
  <c r="E76" i="40"/>
  <c r="E75" i="40"/>
  <c r="E74" i="40"/>
  <c r="E73" i="40"/>
  <c r="E72" i="40"/>
  <c r="E71" i="40"/>
  <c r="E70" i="40"/>
  <c r="E69" i="40"/>
  <c r="E68" i="40"/>
  <c r="E67" i="40"/>
  <c r="E66" i="40"/>
  <c r="E65" i="40"/>
  <c r="E64" i="40"/>
  <c r="E63" i="40"/>
  <c r="E62" i="40"/>
  <c r="E61" i="40"/>
  <c r="E60" i="40"/>
  <c r="E59" i="40"/>
  <c r="E58" i="40"/>
  <c r="E57" i="40"/>
  <c r="E56" i="40"/>
  <c r="E55" i="40"/>
  <c r="Q54" i="40"/>
  <c r="E54" i="40"/>
  <c r="E53" i="40"/>
  <c r="E52" i="40"/>
  <c r="E51" i="40"/>
  <c r="E50" i="40"/>
  <c r="E49" i="40"/>
  <c r="I44" i="40"/>
  <c r="J44" i="40" s="1"/>
  <c r="J468" i="40" s="1"/>
  <c r="E38" i="40"/>
  <c r="E37" i="40"/>
  <c r="E36" i="40"/>
  <c r="E35" i="40"/>
  <c r="E34" i="40"/>
  <c r="E33" i="40"/>
  <c r="E32" i="40"/>
  <c r="E31" i="40"/>
  <c r="E30" i="40"/>
  <c r="E26" i="40"/>
  <c r="E25" i="40"/>
  <c r="E24" i="40"/>
  <c r="E23" i="40"/>
  <c r="E22" i="40"/>
  <c r="E21" i="40"/>
  <c r="E20" i="40"/>
  <c r="E18" i="40"/>
  <c r="G18" i="40" s="1"/>
  <c r="E17" i="40"/>
  <c r="E16" i="40"/>
  <c r="E15" i="40"/>
  <c r="E14" i="40"/>
  <c r="G1" i="40"/>
  <c r="E1" i="40"/>
  <c r="H373" i="39"/>
  <c r="I373" i="39" s="1"/>
  <c r="H372" i="39"/>
  <c r="I372" i="39" s="1"/>
  <c r="H371" i="39"/>
  <c r="I371" i="39" s="1"/>
  <c r="H369" i="39"/>
  <c r="I369" i="39" s="1"/>
  <c r="H368" i="39"/>
  <c r="I368" i="39" s="1"/>
  <c r="H367" i="39"/>
  <c r="I367" i="39" s="1"/>
  <c r="H364" i="39"/>
  <c r="I364" i="39" s="1"/>
  <c r="H363" i="39"/>
  <c r="I363" i="39" s="1"/>
  <c r="L361" i="39"/>
  <c r="M361" i="39" s="1"/>
  <c r="H361" i="39"/>
  <c r="I361" i="39" s="1"/>
  <c r="H360" i="39"/>
  <c r="I360" i="39" s="1"/>
  <c r="H359" i="39"/>
  <c r="I359" i="39" s="1"/>
  <c r="H358" i="39"/>
  <c r="I358" i="39" s="1"/>
  <c r="H357" i="39"/>
  <c r="I357" i="39" s="1"/>
  <c r="H356" i="39"/>
  <c r="I356" i="39" s="1"/>
  <c r="H355" i="39"/>
  <c r="I355" i="39" s="1"/>
  <c r="H354" i="39"/>
  <c r="I354" i="39" s="1"/>
  <c r="H353" i="39"/>
  <c r="I353" i="39" s="1"/>
  <c r="H352" i="39"/>
  <c r="I352" i="39" s="1"/>
  <c r="H351" i="39"/>
  <c r="I351" i="39" s="1"/>
  <c r="H350" i="39"/>
  <c r="I350" i="39" s="1"/>
  <c r="H349" i="39"/>
  <c r="I349" i="39" s="1"/>
  <c r="H348" i="39"/>
  <c r="I348" i="39" s="1"/>
  <c r="H347" i="39"/>
  <c r="I347" i="39" s="1"/>
  <c r="H346" i="39"/>
  <c r="I346" i="39" s="1"/>
  <c r="H345" i="39"/>
  <c r="I345" i="39" s="1"/>
  <c r="L344" i="39"/>
  <c r="M344" i="39" s="1"/>
  <c r="H344" i="39"/>
  <c r="I344" i="39" s="1"/>
  <c r="L343" i="39"/>
  <c r="M343" i="39" s="1"/>
  <c r="H343" i="39"/>
  <c r="I343" i="39" s="1"/>
  <c r="H342" i="39"/>
  <c r="I342" i="39" s="1"/>
  <c r="H340" i="39"/>
  <c r="I340" i="39" s="1"/>
  <c r="H338" i="39"/>
  <c r="I338" i="39" s="1"/>
  <c r="H336" i="39"/>
  <c r="I336" i="39" s="1"/>
  <c r="H335" i="39"/>
  <c r="I335" i="39" s="1"/>
  <c r="H334" i="39"/>
  <c r="I334" i="39" s="1"/>
  <c r="H333" i="39"/>
  <c r="I333" i="39" s="1"/>
  <c r="H332" i="39"/>
  <c r="I332" i="39" s="1"/>
  <c r="H330" i="39"/>
  <c r="I330" i="39" s="1"/>
  <c r="H329" i="39"/>
  <c r="I329" i="39" s="1"/>
  <c r="H328" i="39"/>
  <c r="I328" i="39" s="1"/>
  <c r="H326" i="39"/>
  <c r="I326" i="39" s="1"/>
  <c r="H325" i="39"/>
  <c r="I325" i="39" s="1"/>
  <c r="H324" i="39"/>
  <c r="I324" i="39" s="1"/>
  <c r="H320" i="39"/>
  <c r="I320" i="39" s="1"/>
  <c r="H319" i="39"/>
  <c r="I319" i="39" s="1"/>
  <c r="H317" i="39"/>
  <c r="I317" i="39" s="1"/>
  <c r="H316" i="39"/>
  <c r="I316" i="39" s="1"/>
  <c r="H315" i="39"/>
  <c r="I315" i="39" s="1"/>
  <c r="H313" i="39"/>
  <c r="I313" i="39" s="1"/>
  <c r="H312" i="39"/>
  <c r="I312" i="39" s="1"/>
  <c r="H311" i="39"/>
  <c r="I311" i="39" s="1"/>
  <c r="H309" i="39"/>
  <c r="I309" i="39" s="1"/>
  <c r="H307" i="39"/>
  <c r="I307" i="39" s="1"/>
  <c r="H305" i="39"/>
  <c r="I305" i="39" s="1"/>
  <c r="H303" i="39"/>
  <c r="I303" i="39" s="1"/>
  <c r="H301" i="39"/>
  <c r="I301" i="39" s="1"/>
  <c r="H299" i="39"/>
  <c r="I299" i="39" s="1"/>
  <c r="H297" i="39"/>
  <c r="I297" i="39" s="1"/>
  <c r="H295" i="39"/>
  <c r="I295" i="39" s="1"/>
  <c r="H293" i="39"/>
  <c r="I293" i="39" s="1"/>
  <c r="H292" i="39"/>
  <c r="I292" i="39" s="1"/>
  <c r="H291" i="39"/>
  <c r="I291" i="39" s="1"/>
  <c r="H289" i="39"/>
  <c r="I289" i="39" s="1"/>
  <c r="H287" i="39"/>
  <c r="I287" i="39" s="1"/>
  <c r="H285" i="39"/>
  <c r="I285" i="39" s="1"/>
  <c r="H284" i="39"/>
  <c r="I284" i="39" s="1"/>
  <c r="H283" i="39"/>
  <c r="I283" i="39" s="1"/>
  <c r="H281" i="39"/>
  <c r="I281" i="39" s="1"/>
  <c r="H277" i="39"/>
  <c r="I277" i="39" s="1"/>
  <c r="H276" i="39"/>
  <c r="I276" i="39" s="1"/>
  <c r="H275" i="39"/>
  <c r="I275" i="39" s="1"/>
  <c r="H273" i="39"/>
  <c r="I273" i="39" s="1"/>
  <c r="H272" i="39"/>
  <c r="I272" i="39" s="1"/>
  <c r="H271" i="39"/>
  <c r="I271" i="39" s="1"/>
  <c r="L269" i="39"/>
  <c r="M269" i="39" s="1"/>
  <c r="H269" i="39"/>
  <c r="I269" i="39" s="1"/>
  <c r="H268" i="39"/>
  <c r="I268" i="39" s="1"/>
  <c r="H267" i="39"/>
  <c r="I267" i="39" s="1"/>
  <c r="H266" i="39"/>
  <c r="I266" i="39" s="1"/>
  <c r="H265" i="39"/>
  <c r="I265" i="39" s="1"/>
  <c r="H264" i="39"/>
  <c r="I264" i="39" s="1"/>
  <c r="H263" i="39"/>
  <c r="I263" i="39" s="1"/>
  <c r="H261" i="39"/>
  <c r="I261" i="39" s="1"/>
  <c r="H259" i="39"/>
  <c r="I259" i="39" s="1"/>
  <c r="H258" i="39"/>
  <c r="I258" i="39" s="1"/>
  <c r="H257" i="39"/>
  <c r="I257" i="39" s="1"/>
  <c r="H256" i="39"/>
  <c r="I256" i="39" s="1"/>
  <c r="H255" i="39"/>
  <c r="I255" i="39" s="1"/>
  <c r="H254" i="39"/>
  <c r="I254" i="39" s="1"/>
  <c r="H253" i="39"/>
  <c r="I253" i="39" s="1"/>
  <c r="H252" i="39"/>
  <c r="I252" i="39" s="1"/>
  <c r="H251" i="39"/>
  <c r="I251" i="39" s="1"/>
  <c r="H249" i="39"/>
  <c r="I249" i="39" s="1"/>
  <c r="H248" i="39"/>
  <c r="I248" i="39" s="1"/>
  <c r="L244" i="39"/>
  <c r="M244" i="39" s="1"/>
  <c r="H244" i="39"/>
  <c r="I244" i="39" s="1"/>
  <c r="L243" i="39"/>
  <c r="M243" i="39" s="1"/>
  <c r="H243" i="39"/>
  <c r="I243" i="39" s="1"/>
  <c r="H242" i="39"/>
  <c r="I242" i="39" s="1"/>
  <c r="L241" i="39"/>
  <c r="M241" i="39" s="1"/>
  <c r="H241" i="39"/>
  <c r="I241" i="39" s="1"/>
  <c r="H240" i="39"/>
  <c r="I240" i="39" s="1"/>
  <c r="L239" i="39"/>
  <c r="M239" i="39" s="1"/>
  <c r="H239" i="39"/>
  <c r="I239" i="39" s="1"/>
  <c r="L238" i="39"/>
  <c r="M238" i="39" s="1"/>
  <c r="H238" i="39"/>
  <c r="I238" i="39" s="1"/>
  <c r="L237" i="39"/>
  <c r="M237" i="39" s="1"/>
  <c r="H237" i="39"/>
  <c r="I237" i="39" s="1"/>
  <c r="L236" i="39"/>
  <c r="M236" i="39" s="1"/>
  <c r="H236" i="39"/>
  <c r="I236" i="39" s="1"/>
  <c r="L235" i="39"/>
  <c r="M235" i="39" s="1"/>
  <c r="H235" i="39"/>
  <c r="I235" i="39" s="1"/>
  <c r="L234" i="39"/>
  <c r="M234" i="39" s="1"/>
  <c r="H234" i="39"/>
  <c r="I234" i="39" s="1"/>
  <c r="L233" i="39"/>
  <c r="M233" i="39" s="1"/>
  <c r="H233" i="39"/>
  <c r="I233" i="39" s="1"/>
  <c r="L232" i="39"/>
  <c r="M232" i="39" s="1"/>
  <c r="H232" i="39"/>
  <c r="I232" i="39" s="1"/>
  <c r="L231" i="39"/>
  <c r="M231" i="39" s="1"/>
  <c r="H231" i="39"/>
  <c r="I231" i="39" s="1"/>
  <c r="L230" i="39"/>
  <c r="M230" i="39" s="1"/>
  <c r="H230" i="39"/>
  <c r="I230" i="39" s="1"/>
  <c r="L229" i="39"/>
  <c r="M229" i="39" s="1"/>
  <c r="H229" i="39"/>
  <c r="I229" i="39" s="1"/>
  <c r="L228" i="39"/>
  <c r="M228" i="39" s="1"/>
  <c r="H228" i="39"/>
  <c r="I228" i="39" s="1"/>
  <c r="L227" i="39"/>
  <c r="M227" i="39" s="1"/>
  <c r="H227" i="39"/>
  <c r="I227" i="39" s="1"/>
  <c r="L226" i="39"/>
  <c r="M226" i="39" s="1"/>
  <c r="H226" i="39"/>
  <c r="I226" i="39" s="1"/>
  <c r="L225" i="39"/>
  <c r="M225" i="39" s="1"/>
  <c r="H225" i="39"/>
  <c r="I225" i="39" s="1"/>
  <c r="L224" i="39"/>
  <c r="M224" i="39" s="1"/>
  <c r="H224" i="39"/>
  <c r="I224" i="39" s="1"/>
  <c r="L223" i="39"/>
  <c r="M223" i="39" s="1"/>
  <c r="H223" i="39"/>
  <c r="I223" i="39" s="1"/>
  <c r="L222" i="39"/>
  <c r="M222" i="39" s="1"/>
  <c r="H222" i="39"/>
  <c r="I222" i="39" s="1"/>
  <c r="L221" i="39"/>
  <c r="M221" i="39" s="1"/>
  <c r="H221" i="39"/>
  <c r="I221" i="39" s="1"/>
  <c r="L220" i="39"/>
  <c r="M220" i="39" s="1"/>
  <c r="H220" i="39"/>
  <c r="I220" i="39" s="1"/>
  <c r="L219" i="39"/>
  <c r="M219" i="39" s="1"/>
  <c r="H219" i="39"/>
  <c r="I219" i="39" s="1"/>
  <c r="L218" i="39"/>
  <c r="M218" i="39" s="1"/>
  <c r="H218" i="39"/>
  <c r="I218" i="39" s="1"/>
  <c r="L217" i="39"/>
  <c r="M217" i="39" s="1"/>
  <c r="H217" i="39"/>
  <c r="I217" i="39" s="1"/>
  <c r="L216" i="39"/>
  <c r="M216" i="39" s="1"/>
  <c r="H216" i="39"/>
  <c r="I216" i="39" s="1"/>
  <c r="L215" i="39"/>
  <c r="M215" i="39" s="1"/>
  <c r="H215" i="39"/>
  <c r="I215" i="39" s="1"/>
  <c r="L214" i="39"/>
  <c r="M214" i="39" s="1"/>
  <c r="H214" i="39"/>
  <c r="I214" i="39" s="1"/>
  <c r="L213" i="39"/>
  <c r="M213" i="39" s="1"/>
  <c r="H213" i="39"/>
  <c r="I213" i="39" s="1"/>
  <c r="L212" i="39"/>
  <c r="M212" i="39" s="1"/>
  <c r="H212" i="39"/>
  <c r="I212" i="39" s="1"/>
  <c r="L211" i="39"/>
  <c r="M211" i="39" s="1"/>
  <c r="H211" i="39"/>
  <c r="I211" i="39" s="1"/>
  <c r="L210" i="39"/>
  <c r="M210" i="39" s="1"/>
  <c r="H210" i="39"/>
  <c r="I210" i="39" s="1"/>
  <c r="L209" i="39"/>
  <c r="M209" i="39" s="1"/>
  <c r="H209" i="39"/>
  <c r="I209" i="39" s="1"/>
  <c r="L208" i="39"/>
  <c r="M208" i="39" s="1"/>
  <c r="H208" i="39"/>
  <c r="I208" i="39" s="1"/>
  <c r="L207" i="39"/>
  <c r="M207" i="39" s="1"/>
  <c r="H207" i="39"/>
  <c r="I207" i="39" s="1"/>
  <c r="L206" i="39"/>
  <c r="M206" i="39" s="1"/>
  <c r="H206" i="39"/>
  <c r="I206" i="39" s="1"/>
  <c r="L205" i="39"/>
  <c r="M205" i="39" s="1"/>
  <c r="H205" i="39"/>
  <c r="I205" i="39" s="1"/>
  <c r="L204" i="39"/>
  <c r="M204" i="39" s="1"/>
  <c r="H204" i="39"/>
  <c r="I204" i="39" s="1"/>
  <c r="L203" i="39"/>
  <c r="M203" i="39" s="1"/>
  <c r="H203" i="39"/>
  <c r="I203" i="39" s="1"/>
  <c r="L202" i="39"/>
  <c r="M202" i="39" s="1"/>
  <c r="H202" i="39"/>
  <c r="I202" i="39" s="1"/>
  <c r="L201" i="39"/>
  <c r="M201" i="39" s="1"/>
  <c r="H201" i="39"/>
  <c r="I201" i="39" s="1"/>
  <c r="L200" i="39"/>
  <c r="M200" i="39" s="1"/>
  <c r="H200" i="39"/>
  <c r="I200" i="39" s="1"/>
  <c r="L199" i="39"/>
  <c r="M199" i="39" s="1"/>
  <c r="H199" i="39"/>
  <c r="I199" i="39" s="1"/>
  <c r="L198" i="39"/>
  <c r="M198" i="39" s="1"/>
  <c r="H198" i="39"/>
  <c r="I198" i="39" s="1"/>
  <c r="L197" i="39"/>
  <c r="M197" i="39" s="1"/>
  <c r="H197" i="39"/>
  <c r="I197" i="39" s="1"/>
  <c r="L196" i="39"/>
  <c r="M196" i="39" s="1"/>
  <c r="H196" i="39"/>
  <c r="I196" i="39" s="1"/>
  <c r="H195" i="39"/>
  <c r="I195" i="39" s="1"/>
  <c r="H194" i="39"/>
  <c r="I194" i="39" s="1"/>
  <c r="H193" i="39"/>
  <c r="I193" i="39" s="1"/>
  <c r="H191" i="39"/>
  <c r="I191" i="39" s="1"/>
  <c r="L190" i="39"/>
  <c r="M190" i="39" s="1"/>
  <c r="H190" i="39"/>
  <c r="I190" i="39" s="1"/>
  <c r="L189" i="39"/>
  <c r="M189" i="39" s="1"/>
  <c r="H189" i="39"/>
  <c r="I189" i="39" s="1"/>
  <c r="L188" i="39"/>
  <c r="M188" i="39" s="1"/>
  <c r="H188" i="39"/>
  <c r="I188" i="39" s="1"/>
  <c r="L187" i="39"/>
  <c r="M187" i="39" s="1"/>
  <c r="H187" i="39"/>
  <c r="I187" i="39" s="1"/>
  <c r="L186" i="39"/>
  <c r="M186" i="39" s="1"/>
  <c r="H186" i="39"/>
  <c r="I186" i="39" s="1"/>
  <c r="L185" i="39"/>
  <c r="M185" i="39" s="1"/>
  <c r="H185" i="39"/>
  <c r="I185" i="39" s="1"/>
  <c r="L184" i="39"/>
  <c r="M184" i="39" s="1"/>
  <c r="H184" i="39"/>
  <c r="I184" i="39" s="1"/>
  <c r="L183" i="39"/>
  <c r="M183" i="39" s="1"/>
  <c r="H183" i="39"/>
  <c r="I183" i="39" s="1"/>
  <c r="L182" i="39"/>
  <c r="M182" i="39" s="1"/>
  <c r="H182" i="39"/>
  <c r="I182" i="39" s="1"/>
  <c r="L181" i="39"/>
  <c r="M181" i="39" s="1"/>
  <c r="H181" i="39"/>
  <c r="I181" i="39" s="1"/>
  <c r="L180" i="39"/>
  <c r="M180" i="39" s="1"/>
  <c r="H180" i="39"/>
  <c r="I180" i="39" s="1"/>
  <c r="L179" i="39"/>
  <c r="M179" i="39" s="1"/>
  <c r="H179" i="39"/>
  <c r="I179" i="39" s="1"/>
  <c r="L178" i="39"/>
  <c r="M178" i="39" s="1"/>
  <c r="H178" i="39"/>
  <c r="I178" i="39" s="1"/>
  <c r="L177" i="39"/>
  <c r="M177" i="39" s="1"/>
  <c r="H177" i="39"/>
  <c r="I177" i="39" s="1"/>
  <c r="L176" i="39"/>
  <c r="M176" i="39" s="1"/>
  <c r="H176" i="39"/>
  <c r="I176" i="39" s="1"/>
  <c r="L175" i="39"/>
  <c r="M175" i="39" s="1"/>
  <c r="H175" i="39"/>
  <c r="I175" i="39" s="1"/>
  <c r="L174" i="39"/>
  <c r="M174" i="39" s="1"/>
  <c r="H174" i="39"/>
  <c r="I174" i="39" s="1"/>
  <c r="L173" i="39"/>
  <c r="M173" i="39" s="1"/>
  <c r="H173" i="39"/>
  <c r="I173" i="39" s="1"/>
  <c r="L172" i="39"/>
  <c r="M172" i="39" s="1"/>
  <c r="H172" i="39"/>
  <c r="I172" i="39" s="1"/>
  <c r="L171" i="39"/>
  <c r="M171" i="39" s="1"/>
  <c r="H171" i="39"/>
  <c r="I171" i="39" s="1"/>
  <c r="L170" i="39"/>
  <c r="M170" i="39" s="1"/>
  <c r="H170" i="39"/>
  <c r="I170" i="39" s="1"/>
  <c r="L169" i="39"/>
  <c r="M169" i="39" s="1"/>
  <c r="H169" i="39"/>
  <c r="I169" i="39" s="1"/>
  <c r="L168" i="39"/>
  <c r="M168" i="39" s="1"/>
  <c r="H168" i="39"/>
  <c r="I168" i="39" s="1"/>
  <c r="L167" i="39"/>
  <c r="M167" i="39" s="1"/>
  <c r="H167" i="39"/>
  <c r="I167" i="39" s="1"/>
  <c r="L166" i="39"/>
  <c r="M166" i="39" s="1"/>
  <c r="H166" i="39"/>
  <c r="I166" i="39" s="1"/>
  <c r="L165" i="39"/>
  <c r="M165" i="39" s="1"/>
  <c r="H165" i="39"/>
  <c r="I165" i="39" s="1"/>
  <c r="L164" i="39"/>
  <c r="M164" i="39" s="1"/>
  <c r="H164" i="39"/>
  <c r="I164" i="39" s="1"/>
  <c r="L163" i="39"/>
  <c r="M163" i="39" s="1"/>
  <c r="H163" i="39"/>
  <c r="I163" i="39" s="1"/>
  <c r="L162" i="39"/>
  <c r="M162" i="39" s="1"/>
  <c r="H162" i="39"/>
  <c r="I162" i="39" s="1"/>
  <c r="L161" i="39"/>
  <c r="M161" i="39" s="1"/>
  <c r="H161" i="39"/>
  <c r="I161" i="39" s="1"/>
  <c r="L160" i="39"/>
  <c r="M160" i="39" s="1"/>
  <c r="H160" i="39"/>
  <c r="I160" i="39" s="1"/>
  <c r="L159" i="39"/>
  <c r="M159" i="39" s="1"/>
  <c r="H159" i="39"/>
  <c r="I159" i="39" s="1"/>
  <c r="L158" i="39"/>
  <c r="M158" i="39" s="1"/>
  <c r="H158" i="39"/>
  <c r="I158" i="39" s="1"/>
  <c r="L157" i="39"/>
  <c r="M157" i="39" s="1"/>
  <c r="H157" i="39"/>
  <c r="I157" i="39" s="1"/>
  <c r="L156" i="39"/>
  <c r="M156" i="39" s="1"/>
  <c r="H156" i="39"/>
  <c r="I156" i="39" s="1"/>
  <c r="L155" i="39"/>
  <c r="M155" i="39" s="1"/>
  <c r="H155" i="39"/>
  <c r="I155" i="39" s="1"/>
  <c r="L154" i="39"/>
  <c r="M154" i="39" s="1"/>
  <c r="H154" i="39"/>
  <c r="I154" i="39" s="1"/>
  <c r="L153" i="39"/>
  <c r="M153" i="39" s="1"/>
  <c r="H153" i="39"/>
  <c r="I153" i="39" s="1"/>
  <c r="L152" i="39"/>
  <c r="M152" i="39" s="1"/>
  <c r="H152" i="39"/>
  <c r="I152" i="39" s="1"/>
  <c r="L151" i="39"/>
  <c r="M151" i="39" s="1"/>
  <c r="H151" i="39"/>
  <c r="I151" i="39" s="1"/>
  <c r="L150" i="39"/>
  <c r="M150" i="39" s="1"/>
  <c r="H150" i="39"/>
  <c r="I150" i="39" s="1"/>
  <c r="L149" i="39"/>
  <c r="M149" i="39" s="1"/>
  <c r="H149" i="39"/>
  <c r="I149" i="39" s="1"/>
  <c r="L148" i="39"/>
  <c r="M148" i="39" s="1"/>
  <c r="H148" i="39"/>
  <c r="I148" i="39" s="1"/>
  <c r="L147" i="39"/>
  <c r="M147" i="39" s="1"/>
  <c r="H147" i="39"/>
  <c r="I147" i="39" s="1"/>
  <c r="L146" i="39"/>
  <c r="M146" i="39" s="1"/>
  <c r="H146" i="39"/>
  <c r="I146" i="39" s="1"/>
  <c r="L145" i="39"/>
  <c r="M145" i="39" s="1"/>
  <c r="H145" i="39"/>
  <c r="I145" i="39" s="1"/>
  <c r="L144" i="39"/>
  <c r="M144" i="39" s="1"/>
  <c r="H144" i="39"/>
  <c r="I144" i="39" s="1"/>
  <c r="L143" i="39"/>
  <c r="M143" i="39" s="1"/>
  <c r="H143" i="39"/>
  <c r="I143" i="39" s="1"/>
  <c r="L142" i="39"/>
  <c r="M142" i="39" s="1"/>
  <c r="H142" i="39"/>
  <c r="I142" i="39" s="1"/>
  <c r="L141" i="39"/>
  <c r="M141" i="39" s="1"/>
  <c r="H141" i="39"/>
  <c r="I141" i="39" s="1"/>
  <c r="L140" i="39"/>
  <c r="M140" i="39" s="1"/>
  <c r="H140" i="39"/>
  <c r="I140" i="39" s="1"/>
  <c r="L139" i="39"/>
  <c r="M139" i="39" s="1"/>
  <c r="H139" i="39"/>
  <c r="I139" i="39" s="1"/>
  <c r="L138" i="39"/>
  <c r="M138" i="39" s="1"/>
  <c r="H138" i="39"/>
  <c r="I138" i="39" s="1"/>
  <c r="L137" i="39"/>
  <c r="M137" i="39" s="1"/>
  <c r="H137" i="39"/>
  <c r="I137" i="39" s="1"/>
  <c r="L136" i="39"/>
  <c r="M136" i="39" s="1"/>
  <c r="H136" i="39"/>
  <c r="I136" i="39" s="1"/>
  <c r="L135" i="39"/>
  <c r="M135" i="39" s="1"/>
  <c r="H135" i="39"/>
  <c r="I135" i="39" s="1"/>
  <c r="L134" i="39"/>
  <c r="M134" i="39" s="1"/>
  <c r="H134" i="39"/>
  <c r="I134" i="39" s="1"/>
  <c r="L133" i="39"/>
  <c r="M133" i="39" s="1"/>
  <c r="H133" i="39"/>
  <c r="I133" i="39" s="1"/>
  <c r="L132" i="39"/>
  <c r="M132" i="39" s="1"/>
  <c r="H132" i="39"/>
  <c r="I132" i="39" s="1"/>
  <c r="L131" i="39"/>
  <c r="M131" i="39" s="1"/>
  <c r="H131" i="39"/>
  <c r="I131" i="39" s="1"/>
  <c r="L130" i="39"/>
  <c r="M130" i="39" s="1"/>
  <c r="H130" i="39"/>
  <c r="I130" i="39" s="1"/>
  <c r="L129" i="39"/>
  <c r="M129" i="39" s="1"/>
  <c r="H129" i="39"/>
  <c r="I129" i="39" s="1"/>
  <c r="L128" i="39"/>
  <c r="M128" i="39" s="1"/>
  <c r="H128" i="39"/>
  <c r="I128" i="39" s="1"/>
  <c r="L127" i="39"/>
  <c r="M127" i="39" s="1"/>
  <c r="H127" i="39"/>
  <c r="I127" i="39" s="1"/>
  <c r="L126" i="39"/>
  <c r="M126" i="39" s="1"/>
  <c r="H126" i="39"/>
  <c r="I126" i="39" s="1"/>
  <c r="L125" i="39"/>
  <c r="M125" i="39" s="1"/>
  <c r="H125" i="39"/>
  <c r="I125" i="39" s="1"/>
  <c r="L124" i="39"/>
  <c r="M124" i="39" s="1"/>
  <c r="H124" i="39"/>
  <c r="I124" i="39" s="1"/>
  <c r="L123" i="39"/>
  <c r="M123" i="39" s="1"/>
  <c r="H123" i="39"/>
  <c r="I123" i="39" s="1"/>
  <c r="L122" i="39"/>
  <c r="M122" i="39" s="1"/>
  <c r="H122" i="39"/>
  <c r="I122" i="39" s="1"/>
  <c r="L121" i="39"/>
  <c r="M121" i="39" s="1"/>
  <c r="H121" i="39"/>
  <c r="I121" i="39" s="1"/>
  <c r="L120" i="39"/>
  <c r="M120" i="39" s="1"/>
  <c r="H120" i="39"/>
  <c r="I120" i="39" s="1"/>
  <c r="L119" i="39"/>
  <c r="M119" i="39" s="1"/>
  <c r="H119" i="39"/>
  <c r="I119" i="39" s="1"/>
  <c r="L118" i="39"/>
  <c r="M118" i="39" s="1"/>
  <c r="H118" i="39"/>
  <c r="I118" i="39" s="1"/>
  <c r="L117" i="39"/>
  <c r="M117" i="39" s="1"/>
  <c r="H117" i="39"/>
  <c r="I117" i="39" s="1"/>
  <c r="L116" i="39"/>
  <c r="M116" i="39" s="1"/>
  <c r="H116" i="39"/>
  <c r="I116" i="39" s="1"/>
  <c r="L115" i="39"/>
  <c r="M115" i="39" s="1"/>
  <c r="H115" i="39"/>
  <c r="I115" i="39" s="1"/>
  <c r="L114" i="39"/>
  <c r="M114" i="39" s="1"/>
  <c r="H114" i="39"/>
  <c r="I114" i="39" s="1"/>
  <c r="L113" i="39"/>
  <c r="M113" i="39" s="1"/>
  <c r="H113" i="39"/>
  <c r="I113" i="39" s="1"/>
  <c r="L112" i="39"/>
  <c r="M112" i="39" s="1"/>
  <c r="H112" i="39"/>
  <c r="I112" i="39" s="1"/>
  <c r="L111" i="39"/>
  <c r="M111" i="39" s="1"/>
  <c r="H111" i="39"/>
  <c r="I111" i="39" s="1"/>
  <c r="L110" i="39"/>
  <c r="M110" i="39" s="1"/>
  <c r="H110" i="39"/>
  <c r="I110" i="39" s="1"/>
  <c r="L109" i="39"/>
  <c r="M109" i="39" s="1"/>
  <c r="H109" i="39"/>
  <c r="I109" i="39" s="1"/>
  <c r="L108" i="39"/>
  <c r="M108" i="39" s="1"/>
  <c r="H108" i="39"/>
  <c r="I108" i="39" s="1"/>
  <c r="L107" i="39"/>
  <c r="M107" i="39" s="1"/>
  <c r="H107" i="39"/>
  <c r="I107" i="39" s="1"/>
  <c r="L106" i="39"/>
  <c r="M106" i="39" s="1"/>
  <c r="H106" i="39"/>
  <c r="I106" i="39" s="1"/>
  <c r="L105" i="39"/>
  <c r="M105" i="39" s="1"/>
  <c r="H105" i="39"/>
  <c r="I105" i="39" s="1"/>
  <c r="L104" i="39"/>
  <c r="M104" i="39" s="1"/>
  <c r="H104" i="39"/>
  <c r="I104" i="39" s="1"/>
  <c r="L103" i="39"/>
  <c r="M103" i="39" s="1"/>
  <c r="H103" i="39"/>
  <c r="I103" i="39" s="1"/>
  <c r="L102" i="39"/>
  <c r="M102" i="39" s="1"/>
  <c r="H102" i="39"/>
  <c r="I102" i="39" s="1"/>
  <c r="L101" i="39"/>
  <c r="M101" i="39" s="1"/>
  <c r="H101" i="39"/>
  <c r="I101" i="39" s="1"/>
  <c r="L100" i="39"/>
  <c r="M100" i="39" s="1"/>
  <c r="H100" i="39"/>
  <c r="I100" i="39" s="1"/>
  <c r="L99" i="39"/>
  <c r="M99" i="39" s="1"/>
  <c r="H99" i="39"/>
  <c r="I99" i="39" s="1"/>
  <c r="L98" i="39"/>
  <c r="M98" i="39" s="1"/>
  <c r="H98" i="39"/>
  <c r="I98" i="39" s="1"/>
  <c r="L97" i="39"/>
  <c r="M97" i="39" s="1"/>
  <c r="H97" i="39"/>
  <c r="I97" i="39" s="1"/>
  <c r="L96" i="39"/>
  <c r="M96" i="39" s="1"/>
  <c r="H96" i="39"/>
  <c r="I96" i="39" s="1"/>
  <c r="L95" i="39"/>
  <c r="M95" i="39" s="1"/>
  <c r="H95" i="39"/>
  <c r="I95" i="39" s="1"/>
  <c r="L94" i="39"/>
  <c r="M94" i="39" s="1"/>
  <c r="H94" i="39"/>
  <c r="I94" i="39" s="1"/>
  <c r="L93" i="39"/>
  <c r="M93" i="39" s="1"/>
  <c r="H93" i="39"/>
  <c r="I93" i="39" s="1"/>
  <c r="L92" i="39"/>
  <c r="M92" i="39" s="1"/>
  <c r="H92" i="39"/>
  <c r="I92" i="39" s="1"/>
  <c r="L91" i="39"/>
  <c r="M91" i="39" s="1"/>
  <c r="H91" i="39"/>
  <c r="I91" i="39" s="1"/>
  <c r="L90" i="39"/>
  <c r="M90" i="39" s="1"/>
  <c r="H90" i="39"/>
  <c r="I90" i="39" s="1"/>
  <c r="L89" i="39"/>
  <c r="M89" i="39" s="1"/>
  <c r="H89" i="39"/>
  <c r="I89" i="39" s="1"/>
  <c r="L88" i="39"/>
  <c r="M88" i="39" s="1"/>
  <c r="H88" i="39"/>
  <c r="I88" i="39" s="1"/>
  <c r="L87" i="39"/>
  <c r="M87" i="39" s="1"/>
  <c r="H87" i="39"/>
  <c r="I87" i="39" s="1"/>
  <c r="L86" i="39"/>
  <c r="M86" i="39" s="1"/>
  <c r="H86" i="39"/>
  <c r="I86" i="39" s="1"/>
  <c r="L85" i="39"/>
  <c r="M85" i="39" s="1"/>
  <c r="H85" i="39"/>
  <c r="I85" i="39" s="1"/>
  <c r="L84" i="39"/>
  <c r="M84" i="39" s="1"/>
  <c r="H84" i="39"/>
  <c r="I84" i="39" s="1"/>
  <c r="L83" i="39"/>
  <c r="M83" i="39" s="1"/>
  <c r="H83" i="39"/>
  <c r="I83" i="39" s="1"/>
  <c r="L82" i="39"/>
  <c r="M82" i="39" s="1"/>
  <c r="H82" i="39"/>
  <c r="I82" i="39" s="1"/>
  <c r="L81" i="39"/>
  <c r="M81" i="39" s="1"/>
  <c r="H81" i="39"/>
  <c r="I81" i="39" s="1"/>
  <c r="L80" i="39"/>
  <c r="M80" i="39" s="1"/>
  <c r="H80" i="39"/>
  <c r="I80" i="39" s="1"/>
  <c r="L79" i="39"/>
  <c r="M79" i="39" s="1"/>
  <c r="H79" i="39"/>
  <c r="I79" i="39" s="1"/>
  <c r="L78" i="39"/>
  <c r="M78" i="39" s="1"/>
  <c r="H78" i="39"/>
  <c r="I78" i="39" s="1"/>
  <c r="L77" i="39"/>
  <c r="M77" i="39" s="1"/>
  <c r="H77" i="39"/>
  <c r="I77" i="39" s="1"/>
  <c r="L76" i="39"/>
  <c r="M76" i="39" s="1"/>
  <c r="H76" i="39"/>
  <c r="I76" i="39" s="1"/>
  <c r="L75" i="39"/>
  <c r="M75" i="39" s="1"/>
  <c r="H75" i="39"/>
  <c r="I75" i="39" s="1"/>
  <c r="L74" i="39"/>
  <c r="M74" i="39" s="1"/>
  <c r="H74" i="39"/>
  <c r="I74" i="39" s="1"/>
  <c r="L73" i="39"/>
  <c r="M73" i="39" s="1"/>
  <c r="H73" i="39"/>
  <c r="I73" i="39" s="1"/>
  <c r="L72" i="39"/>
  <c r="M72" i="39" s="1"/>
  <c r="H72" i="39"/>
  <c r="I72" i="39" s="1"/>
  <c r="L71" i="39"/>
  <c r="M71" i="39" s="1"/>
  <c r="H71" i="39"/>
  <c r="I71" i="39" s="1"/>
  <c r="L70" i="39"/>
  <c r="M70" i="39" s="1"/>
  <c r="H70" i="39"/>
  <c r="I70" i="39" s="1"/>
  <c r="L69" i="39"/>
  <c r="M69" i="39" s="1"/>
  <c r="H69" i="39"/>
  <c r="I69" i="39" s="1"/>
  <c r="L68" i="39"/>
  <c r="M68" i="39" s="1"/>
  <c r="H68" i="39"/>
  <c r="I68" i="39" s="1"/>
  <c r="L67" i="39"/>
  <c r="M67" i="39" s="1"/>
  <c r="H67" i="39"/>
  <c r="I67" i="39" s="1"/>
  <c r="L66" i="39"/>
  <c r="M66" i="39" s="1"/>
  <c r="H66" i="39"/>
  <c r="I66" i="39" s="1"/>
  <c r="L65" i="39"/>
  <c r="M65" i="39" s="1"/>
  <c r="H65" i="39"/>
  <c r="I65" i="39" s="1"/>
  <c r="L64" i="39"/>
  <c r="M64" i="39" s="1"/>
  <c r="H64" i="39"/>
  <c r="I64" i="39" s="1"/>
  <c r="L63" i="39"/>
  <c r="M63" i="39" s="1"/>
  <c r="H63" i="39"/>
  <c r="I63" i="39" s="1"/>
  <c r="L62" i="39"/>
  <c r="M62" i="39" s="1"/>
  <c r="H62" i="39"/>
  <c r="I62" i="39" s="1"/>
  <c r="L61" i="39"/>
  <c r="M61" i="39" s="1"/>
  <c r="H61" i="39"/>
  <c r="I61" i="39" s="1"/>
  <c r="L60" i="39"/>
  <c r="M60" i="39" s="1"/>
  <c r="H60" i="39"/>
  <c r="I60" i="39" s="1"/>
  <c r="L59" i="39"/>
  <c r="M59" i="39" s="1"/>
  <c r="H59" i="39"/>
  <c r="I59" i="39" s="1"/>
  <c r="L58" i="39"/>
  <c r="M58" i="39" s="1"/>
  <c r="H58" i="39"/>
  <c r="I58" i="39" s="1"/>
  <c r="L57" i="39"/>
  <c r="M57" i="39" s="1"/>
  <c r="H57" i="39"/>
  <c r="I57" i="39" s="1"/>
  <c r="L56" i="39"/>
  <c r="M56" i="39" s="1"/>
  <c r="H56" i="39"/>
  <c r="I56" i="39" s="1"/>
  <c r="L55" i="39"/>
  <c r="M55" i="39" s="1"/>
  <c r="H55" i="39"/>
  <c r="I55" i="39" s="1"/>
  <c r="L54" i="39"/>
  <c r="M54" i="39" s="1"/>
  <c r="H54" i="39"/>
  <c r="I54" i="39" s="1"/>
  <c r="L53" i="39"/>
  <c r="M53" i="39" s="1"/>
  <c r="H53" i="39"/>
  <c r="I53" i="39" s="1"/>
  <c r="L52" i="39"/>
  <c r="M52" i="39" s="1"/>
  <c r="H52" i="39"/>
  <c r="I52" i="39" s="1"/>
  <c r="L51" i="39"/>
  <c r="M51" i="39" s="1"/>
  <c r="H51" i="39"/>
  <c r="I51" i="39" s="1"/>
  <c r="L50" i="39"/>
  <c r="M50" i="39" s="1"/>
  <c r="H50" i="39"/>
  <c r="I50" i="39" s="1"/>
  <c r="L49" i="39"/>
  <c r="M49" i="39" s="1"/>
  <c r="H49" i="39"/>
  <c r="I49" i="39" s="1"/>
  <c r="L48" i="39"/>
  <c r="M48" i="39" s="1"/>
  <c r="H48" i="39"/>
  <c r="I48" i="39" s="1"/>
  <c r="L47" i="39"/>
  <c r="M47" i="39" s="1"/>
  <c r="H47" i="39"/>
  <c r="I47" i="39" s="1"/>
  <c r="L46" i="39"/>
  <c r="M46" i="39" s="1"/>
  <c r="H46" i="39"/>
  <c r="I46" i="39" s="1"/>
  <c r="L45" i="39"/>
  <c r="M45" i="39" s="1"/>
  <c r="H45" i="39"/>
  <c r="I45" i="39" s="1"/>
  <c r="L44" i="39"/>
  <c r="M44" i="39" s="1"/>
  <c r="H44" i="39"/>
  <c r="I44" i="39" s="1"/>
  <c r="L43" i="39"/>
  <c r="M43" i="39" s="1"/>
  <c r="H43" i="39"/>
  <c r="I43" i="39" s="1"/>
  <c r="L42" i="39"/>
  <c r="M42" i="39" s="1"/>
  <c r="H42" i="39"/>
  <c r="I42" i="39" s="1"/>
  <c r="L41" i="39"/>
  <c r="M41" i="39" s="1"/>
  <c r="H41" i="39"/>
  <c r="I41" i="39" s="1"/>
  <c r="L40" i="39"/>
  <c r="M40" i="39" s="1"/>
  <c r="H40" i="39"/>
  <c r="I40" i="39" s="1"/>
  <c r="L39" i="39"/>
  <c r="M39" i="39" s="1"/>
  <c r="H39" i="39"/>
  <c r="I39" i="39" s="1"/>
  <c r="L38" i="39"/>
  <c r="M38" i="39" s="1"/>
  <c r="H38" i="39"/>
  <c r="I38" i="39" s="1"/>
  <c r="H28" i="39"/>
  <c r="I28" i="39" s="1"/>
  <c r="H25" i="39"/>
  <c r="I25" i="39" s="1"/>
  <c r="B7" i="38"/>
  <c r="B8" i="38" s="1"/>
  <c r="I24" i="38" s="1"/>
  <c r="O5" i="38"/>
  <c r="B5" i="38"/>
  <c r="O4" i="38"/>
  <c r="M3" i="38"/>
  <c r="O3" i="38" s="1"/>
  <c r="M2" i="38"/>
  <c r="O2" i="38" s="1"/>
  <c r="O1" i="38"/>
  <c r="O257" i="43" l="1"/>
  <c r="N257" i="43"/>
  <c r="G15" i="41"/>
  <c r="G14" i="41"/>
  <c r="G16" i="41" s="1"/>
  <c r="E238" i="46"/>
  <c r="O229" i="43"/>
  <c r="E363" i="46"/>
  <c r="O357" i="43"/>
  <c r="E81" i="46"/>
  <c r="O78" i="43"/>
  <c r="O154" i="43"/>
  <c r="O186" i="43"/>
  <c r="O192" i="43"/>
  <c r="E170" i="46"/>
  <c r="O136" i="43"/>
  <c r="O249" i="43"/>
  <c r="O377" i="43"/>
  <c r="E41" i="46"/>
  <c r="O98" i="43"/>
  <c r="E187" i="46"/>
  <c r="O159" i="43"/>
  <c r="E208" i="46"/>
  <c r="O191" i="43"/>
  <c r="E214" i="46"/>
  <c r="O200" i="43"/>
  <c r="O122" i="43"/>
  <c r="O237" i="43"/>
  <c r="E371" i="46"/>
  <c r="O365" i="43"/>
  <c r="E147" i="46"/>
  <c r="O86" i="43"/>
  <c r="E62" i="46"/>
  <c r="O156" i="43"/>
  <c r="E359" i="46"/>
  <c r="O353" i="43"/>
  <c r="E63" i="46"/>
  <c r="O185" i="43"/>
  <c r="E76" i="46"/>
  <c r="O109" i="43"/>
  <c r="E141" i="46"/>
  <c r="O77" i="43"/>
  <c r="E123" i="46"/>
  <c r="O45" i="43"/>
  <c r="E11" i="46"/>
  <c r="O13" i="43"/>
  <c r="E392" i="46"/>
  <c r="O388" i="43"/>
  <c r="E362" i="46"/>
  <c r="O356" i="43"/>
  <c r="E330" i="46"/>
  <c r="O324" i="43"/>
  <c r="E299" i="46"/>
  <c r="O292" i="43"/>
  <c r="E268" i="46"/>
  <c r="O260" i="43"/>
  <c r="E237" i="46"/>
  <c r="O228" i="43"/>
  <c r="E47" i="46"/>
  <c r="O120" i="43"/>
  <c r="E75" i="46"/>
  <c r="O88" i="43"/>
  <c r="E128" i="46"/>
  <c r="O56" i="43"/>
  <c r="E107" i="46"/>
  <c r="O24" i="43"/>
  <c r="E403" i="46"/>
  <c r="O399" i="43"/>
  <c r="E373" i="46"/>
  <c r="O367" i="43"/>
  <c r="E341" i="46"/>
  <c r="O335" i="43"/>
  <c r="E89" i="46"/>
  <c r="O303" i="43"/>
  <c r="E279" i="46"/>
  <c r="O271" i="43"/>
  <c r="E248" i="46"/>
  <c r="O239" i="43"/>
  <c r="E173" i="46"/>
  <c r="O139" i="43"/>
  <c r="E80" i="46"/>
  <c r="O107" i="43"/>
  <c r="E140" i="46"/>
  <c r="O75" i="43"/>
  <c r="E121" i="46"/>
  <c r="O43" i="43"/>
  <c r="E99" i="46"/>
  <c r="O11" i="43"/>
  <c r="E390" i="46"/>
  <c r="O386" i="43"/>
  <c r="E360" i="46"/>
  <c r="O354" i="43"/>
  <c r="E328" i="46"/>
  <c r="O322" i="43"/>
  <c r="E297" i="46"/>
  <c r="O290" i="43"/>
  <c r="E266" i="46"/>
  <c r="O258" i="43"/>
  <c r="E235" i="46"/>
  <c r="O226" i="43"/>
  <c r="E91" i="46"/>
  <c r="O2" i="43"/>
  <c r="E254" i="46"/>
  <c r="O245" i="43"/>
  <c r="E377" i="46"/>
  <c r="O373" i="43"/>
  <c r="O94" i="43"/>
  <c r="O158" i="43"/>
  <c r="E207" i="46"/>
  <c r="O190" i="43"/>
  <c r="E87" i="46"/>
  <c r="O204" i="43"/>
  <c r="E179" i="46"/>
  <c r="O149" i="43"/>
  <c r="E273" i="46"/>
  <c r="O265" i="43"/>
  <c r="E397" i="46"/>
  <c r="O393" i="43"/>
  <c r="E59" i="46"/>
  <c r="O114" i="43"/>
  <c r="E189" i="46"/>
  <c r="O163" i="43"/>
  <c r="E211" i="46"/>
  <c r="O195" i="43"/>
  <c r="E234" i="46"/>
  <c r="O225" i="43"/>
  <c r="E16" i="46"/>
  <c r="O145" i="43"/>
  <c r="O253" i="43"/>
  <c r="E385" i="46"/>
  <c r="O381" i="43"/>
  <c r="O102" i="43"/>
  <c r="E69" i="46"/>
  <c r="O160" i="43"/>
  <c r="E405" i="46"/>
  <c r="O401" i="43"/>
  <c r="E213" i="46"/>
  <c r="O197" i="43"/>
  <c r="E159" i="46"/>
  <c r="O105" i="43"/>
  <c r="E53" i="46"/>
  <c r="O73" i="43"/>
  <c r="E120" i="46"/>
  <c r="O41" i="43"/>
  <c r="E97" i="46"/>
  <c r="O9" i="43"/>
  <c r="E388" i="46"/>
  <c r="O384" i="43"/>
  <c r="E358" i="46"/>
  <c r="O352" i="43"/>
  <c r="E326" i="46"/>
  <c r="O320" i="43"/>
  <c r="E295" i="46"/>
  <c r="O288" i="43"/>
  <c r="O256" i="43"/>
  <c r="O224" i="43"/>
  <c r="E64" i="46"/>
  <c r="O116" i="43"/>
  <c r="E146" i="46"/>
  <c r="O84" i="43"/>
  <c r="E29" i="46"/>
  <c r="O52" i="43"/>
  <c r="E10" i="46"/>
  <c r="O20" i="43"/>
  <c r="E399" i="46"/>
  <c r="O395" i="43"/>
  <c r="E369" i="46"/>
  <c r="O363" i="43"/>
  <c r="E337" i="46"/>
  <c r="O331" i="43"/>
  <c r="E306" i="46"/>
  <c r="O299" i="43"/>
  <c r="E275" i="46"/>
  <c r="O267" i="43"/>
  <c r="E244" i="46"/>
  <c r="O235" i="43"/>
  <c r="E32" i="46"/>
  <c r="O135" i="43"/>
  <c r="E157" i="46"/>
  <c r="O103" i="43"/>
  <c r="E52" i="46"/>
  <c r="O71" i="43"/>
  <c r="E118" i="46"/>
  <c r="O39" i="43"/>
  <c r="E95" i="46"/>
  <c r="O7" i="43"/>
  <c r="E386" i="46"/>
  <c r="O382" i="43"/>
  <c r="E356" i="46"/>
  <c r="O350" i="43"/>
  <c r="E324" i="46"/>
  <c r="O318" i="43"/>
  <c r="E293" i="46"/>
  <c r="O286" i="43"/>
  <c r="E262" i="46"/>
  <c r="O254" i="43"/>
  <c r="E231" i="46"/>
  <c r="O222" i="43"/>
  <c r="E269" i="46"/>
  <c r="O261" i="43"/>
  <c r="E393" i="46"/>
  <c r="O389" i="43"/>
  <c r="E84" i="46"/>
  <c r="O110" i="43"/>
  <c r="O162" i="43"/>
  <c r="O194" i="43"/>
  <c r="O241" i="43"/>
  <c r="E79" i="46"/>
  <c r="O161" i="43"/>
  <c r="E289" i="46"/>
  <c r="O281" i="43"/>
  <c r="E218" i="46"/>
  <c r="O209" i="43"/>
  <c r="O130" i="43"/>
  <c r="E191" i="46"/>
  <c r="O167" i="43"/>
  <c r="O199" i="43"/>
  <c r="O273" i="43"/>
  <c r="O157" i="43"/>
  <c r="O269" i="43"/>
  <c r="E401" i="46"/>
  <c r="O397" i="43"/>
  <c r="E164" i="46"/>
  <c r="O118" i="43"/>
  <c r="O172" i="43"/>
  <c r="E129" i="46"/>
  <c r="O58" i="43"/>
  <c r="O133" i="43"/>
  <c r="O101" i="43"/>
  <c r="O69" i="43"/>
  <c r="O37" i="43"/>
  <c r="O5" i="43"/>
  <c r="O380" i="43"/>
  <c r="O348" i="43"/>
  <c r="O316" i="43"/>
  <c r="O284" i="43"/>
  <c r="E260" i="46"/>
  <c r="O252" i="43"/>
  <c r="E229" i="46"/>
  <c r="O220" i="43"/>
  <c r="O112" i="43"/>
  <c r="E143" i="46"/>
  <c r="O80" i="43"/>
  <c r="E125" i="46"/>
  <c r="O48" i="43"/>
  <c r="E12" i="46"/>
  <c r="O16" i="43"/>
  <c r="E395" i="46"/>
  <c r="O391" i="43"/>
  <c r="E365" i="46"/>
  <c r="O359" i="43"/>
  <c r="E333" i="46"/>
  <c r="O327" i="43"/>
  <c r="E302" i="46"/>
  <c r="O295" i="43"/>
  <c r="E271" i="46"/>
  <c r="O263" i="43"/>
  <c r="E240" i="46"/>
  <c r="O231" i="43"/>
  <c r="O131" i="43"/>
  <c r="E83" i="46"/>
  <c r="O99" i="43"/>
  <c r="E50" i="46"/>
  <c r="O67" i="43"/>
  <c r="E115" i="46"/>
  <c r="O35" i="43"/>
  <c r="E92" i="46"/>
  <c r="O3" i="43"/>
  <c r="E382" i="46"/>
  <c r="O378" i="43"/>
  <c r="E352" i="46"/>
  <c r="O346" i="43"/>
  <c r="E320" i="46"/>
  <c r="O314" i="43"/>
  <c r="E72" i="46"/>
  <c r="O282" i="43"/>
  <c r="E74" i="46"/>
  <c r="O250" i="43"/>
  <c r="E227" i="46"/>
  <c r="O218" i="43"/>
  <c r="E285" i="46"/>
  <c r="O277" i="43"/>
  <c r="E25" i="46"/>
  <c r="O405" i="43"/>
  <c r="E46" i="46"/>
  <c r="O126" i="43"/>
  <c r="E190" i="46"/>
  <c r="O166" i="43"/>
  <c r="E20" i="46"/>
  <c r="O198" i="43"/>
  <c r="E296" i="46"/>
  <c r="O289" i="43"/>
  <c r="E194" i="46"/>
  <c r="O173" i="43"/>
  <c r="E304" i="46"/>
  <c r="O297" i="43"/>
  <c r="O18" i="43"/>
  <c r="O138" i="43"/>
  <c r="E5" i="46"/>
  <c r="O171" i="43"/>
  <c r="O203" i="43"/>
  <c r="E327" i="46"/>
  <c r="O321" i="43"/>
  <c r="E43" i="46"/>
  <c r="O169" i="43"/>
  <c r="O285" i="43"/>
  <c r="O6" i="43"/>
  <c r="E27" i="46"/>
  <c r="O134" i="43"/>
  <c r="E202" i="46"/>
  <c r="O184" i="43"/>
  <c r="E160" i="46"/>
  <c r="O106" i="43"/>
  <c r="O129" i="43"/>
  <c r="E153" i="46"/>
  <c r="O97" i="43"/>
  <c r="E54" i="46"/>
  <c r="O65" i="43"/>
  <c r="E113" i="46"/>
  <c r="O33" i="43"/>
  <c r="E411" i="46"/>
  <c r="O408" i="43"/>
  <c r="E380" i="46"/>
  <c r="O376" i="43"/>
  <c r="E350" i="46"/>
  <c r="O344" i="43"/>
  <c r="E318" i="46"/>
  <c r="O312" i="43"/>
  <c r="E288" i="46"/>
  <c r="O280" i="43"/>
  <c r="E257" i="46"/>
  <c r="O248" i="43"/>
  <c r="E225" i="46"/>
  <c r="O216" i="43"/>
  <c r="E77" i="46"/>
  <c r="O108" i="43"/>
  <c r="E70" i="46"/>
  <c r="O76" i="43"/>
  <c r="E122" i="46"/>
  <c r="O44" i="43"/>
  <c r="E100" i="46"/>
  <c r="O12" i="43"/>
  <c r="E391" i="46"/>
  <c r="O387" i="43"/>
  <c r="E361" i="46"/>
  <c r="O355" i="43"/>
  <c r="E329" i="46"/>
  <c r="O323" i="43"/>
  <c r="E298" i="46"/>
  <c r="O291" i="43"/>
  <c r="E267" i="46"/>
  <c r="O259" i="43"/>
  <c r="E236" i="46"/>
  <c r="O227" i="43"/>
  <c r="E39" i="46"/>
  <c r="O127" i="43"/>
  <c r="E37" i="46"/>
  <c r="O95" i="43"/>
  <c r="E133" i="46"/>
  <c r="O63" i="43"/>
  <c r="E8" i="46"/>
  <c r="O31" i="43"/>
  <c r="O406" i="43"/>
  <c r="E378" i="46"/>
  <c r="O374" i="43"/>
  <c r="O342" i="43"/>
  <c r="O310" i="43"/>
  <c r="O278" i="43"/>
  <c r="E255" i="46"/>
  <c r="O246" i="43"/>
  <c r="E223" i="46"/>
  <c r="O214" i="43"/>
  <c r="E300" i="46"/>
  <c r="O293" i="43"/>
  <c r="E101" i="46"/>
  <c r="O14" i="43"/>
  <c r="E171" i="46"/>
  <c r="O137" i="43"/>
  <c r="O170" i="43"/>
  <c r="O202" i="43"/>
  <c r="E343" i="46"/>
  <c r="O337" i="43"/>
  <c r="O189" i="43"/>
  <c r="O313" i="43"/>
  <c r="E114" i="46"/>
  <c r="O34" i="43"/>
  <c r="E176" i="46"/>
  <c r="O143" i="43"/>
  <c r="E196" i="46"/>
  <c r="O175" i="43"/>
  <c r="O207" i="43"/>
  <c r="E374" i="46"/>
  <c r="O369" i="43"/>
  <c r="E31" i="46"/>
  <c r="O181" i="43"/>
  <c r="O301" i="43"/>
  <c r="E15" i="46"/>
  <c r="O22" i="43"/>
  <c r="E174" i="46"/>
  <c r="O140" i="43"/>
  <c r="E212" i="46"/>
  <c r="O196" i="43"/>
  <c r="E175" i="46"/>
  <c r="O141" i="43"/>
  <c r="O125" i="43"/>
  <c r="E44" i="46"/>
  <c r="O93" i="43"/>
  <c r="E18" i="46"/>
  <c r="O61" i="43"/>
  <c r="E110" i="46"/>
  <c r="O29" i="43"/>
  <c r="O404" i="43"/>
  <c r="E85" i="46"/>
  <c r="O372" i="43"/>
  <c r="O340" i="43"/>
  <c r="O308" i="43"/>
  <c r="O276" i="43"/>
  <c r="E253" i="46"/>
  <c r="O244" i="43"/>
  <c r="E221" i="46"/>
  <c r="O212" i="43"/>
  <c r="E158" i="46"/>
  <c r="O104" i="43"/>
  <c r="E138" i="46"/>
  <c r="O72" i="43"/>
  <c r="E119" i="46"/>
  <c r="O40" i="43"/>
  <c r="E96" i="46"/>
  <c r="O8" i="43"/>
  <c r="O383" i="43"/>
  <c r="E357" i="46"/>
  <c r="O351" i="43"/>
  <c r="E325" i="46"/>
  <c r="O319" i="43"/>
  <c r="E294" i="46"/>
  <c r="O287" i="43"/>
  <c r="E263" i="46"/>
  <c r="O255" i="43"/>
  <c r="E232" i="46"/>
  <c r="O223" i="43"/>
  <c r="E165" i="46"/>
  <c r="O123" i="43"/>
  <c r="E82" i="46"/>
  <c r="O91" i="43"/>
  <c r="E130" i="46"/>
  <c r="O59" i="43"/>
  <c r="E67" i="46"/>
  <c r="O27" i="43"/>
  <c r="E406" i="46"/>
  <c r="O402" i="43"/>
  <c r="E375" i="46"/>
  <c r="O370" i="43"/>
  <c r="E344" i="46"/>
  <c r="O338" i="43"/>
  <c r="E312" i="46"/>
  <c r="O306" i="43"/>
  <c r="E282" i="46"/>
  <c r="O274" i="43"/>
  <c r="E251" i="46"/>
  <c r="O242" i="43"/>
  <c r="E219" i="46"/>
  <c r="O210" i="43"/>
  <c r="E315" i="46"/>
  <c r="O309" i="43"/>
  <c r="E111" i="46"/>
  <c r="O30" i="43"/>
  <c r="E40" i="46"/>
  <c r="O142" i="43"/>
  <c r="E195" i="46"/>
  <c r="O174" i="43"/>
  <c r="E56" i="46"/>
  <c r="O206" i="43"/>
  <c r="E389" i="46"/>
  <c r="O385" i="43"/>
  <c r="O201" i="43"/>
  <c r="E335" i="46"/>
  <c r="O329" i="43"/>
  <c r="E126" i="46"/>
  <c r="O50" i="43"/>
  <c r="E6" i="46"/>
  <c r="O147" i="43"/>
  <c r="E198" i="46"/>
  <c r="O179" i="43"/>
  <c r="E73" i="46"/>
  <c r="O164" i="43"/>
  <c r="E98" i="46"/>
  <c r="O10" i="43"/>
  <c r="E210" i="46"/>
  <c r="O193" i="43"/>
  <c r="O317" i="43"/>
  <c r="O38" i="43"/>
  <c r="E28" i="46"/>
  <c r="O144" i="43"/>
  <c r="E71" i="46"/>
  <c r="O208" i="43"/>
  <c r="E183" i="46"/>
  <c r="O153" i="43"/>
  <c r="E48" i="46"/>
  <c r="O121" i="43"/>
  <c r="E149" i="46"/>
  <c r="O89" i="43"/>
  <c r="E36" i="46"/>
  <c r="O57" i="43"/>
  <c r="E108" i="46"/>
  <c r="O25" i="43"/>
  <c r="E404" i="46"/>
  <c r="O400" i="43"/>
  <c r="E19" i="46"/>
  <c r="O368" i="43"/>
  <c r="E342" i="46"/>
  <c r="O336" i="43"/>
  <c r="E310" i="46"/>
  <c r="O304" i="43"/>
  <c r="E280" i="46"/>
  <c r="O272" i="43"/>
  <c r="O240" i="43"/>
  <c r="E169" i="46"/>
  <c r="O132" i="43"/>
  <c r="O100" i="43"/>
  <c r="O68" i="43"/>
  <c r="O36" i="43"/>
  <c r="O4" i="43"/>
  <c r="E383" i="46"/>
  <c r="O379" i="43"/>
  <c r="E353" i="46"/>
  <c r="O347" i="43"/>
  <c r="E321" i="46"/>
  <c r="O315" i="43"/>
  <c r="E290" i="46"/>
  <c r="O283" i="43"/>
  <c r="E259" i="46"/>
  <c r="O251" i="43"/>
  <c r="E228" i="46"/>
  <c r="O219" i="43"/>
  <c r="E49" i="46"/>
  <c r="O119" i="43"/>
  <c r="E148" i="46"/>
  <c r="O87" i="43"/>
  <c r="E45" i="46"/>
  <c r="O55" i="43"/>
  <c r="E13" i="46"/>
  <c r="O23" i="43"/>
  <c r="E402" i="46"/>
  <c r="O398" i="43"/>
  <c r="E372" i="46"/>
  <c r="O366" i="43"/>
  <c r="E340" i="46"/>
  <c r="O334" i="43"/>
  <c r="E309" i="46"/>
  <c r="O302" i="43"/>
  <c r="E278" i="46"/>
  <c r="O270" i="43"/>
  <c r="E247" i="46"/>
  <c r="O238" i="43"/>
  <c r="E331" i="46"/>
  <c r="O325" i="43"/>
  <c r="E22" i="46"/>
  <c r="O46" i="43"/>
  <c r="O146" i="43"/>
  <c r="O178" i="43"/>
  <c r="E192" i="46"/>
  <c r="O168" i="43"/>
  <c r="O42" i="43"/>
  <c r="E226" i="46"/>
  <c r="O217" i="43"/>
  <c r="E351" i="46"/>
  <c r="O345" i="43"/>
  <c r="E135" i="46"/>
  <c r="O66" i="43"/>
  <c r="E181" i="46"/>
  <c r="O151" i="43"/>
  <c r="E201" i="46"/>
  <c r="O183" i="43"/>
  <c r="E68" i="46"/>
  <c r="O176" i="43"/>
  <c r="E109" i="46"/>
  <c r="O26" i="43"/>
  <c r="E90" i="46"/>
  <c r="O205" i="43"/>
  <c r="E339" i="46"/>
  <c r="O333" i="43"/>
  <c r="O54" i="43"/>
  <c r="E178" i="46"/>
  <c r="O148" i="43"/>
  <c r="O165" i="43"/>
  <c r="O117" i="43"/>
  <c r="O85" i="43"/>
  <c r="O53" i="43"/>
  <c r="O21" i="43"/>
  <c r="O396" i="43"/>
  <c r="O364" i="43"/>
  <c r="O332" i="43"/>
  <c r="O300" i="43"/>
  <c r="E276" i="46"/>
  <c r="O268" i="43"/>
  <c r="E245" i="46"/>
  <c r="O236" i="43"/>
  <c r="E66" i="46"/>
  <c r="O128" i="43"/>
  <c r="E23" i="46"/>
  <c r="O96" i="43"/>
  <c r="E134" i="46"/>
  <c r="O64" i="43"/>
  <c r="E112" i="46"/>
  <c r="O32" i="43"/>
  <c r="E410" i="46"/>
  <c r="O407" i="43"/>
  <c r="E379" i="46"/>
  <c r="O375" i="43"/>
  <c r="E349" i="46"/>
  <c r="O343" i="43"/>
  <c r="E317" i="46"/>
  <c r="O311" i="43"/>
  <c r="E287" i="46"/>
  <c r="O279" i="43"/>
  <c r="E256" i="46"/>
  <c r="O247" i="43"/>
  <c r="E224" i="46"/>
  <c r="O215" i="43"/>
  <c r="E60" i="46"/>
  <c r="O115" i="43"/>
  <c r="E38" i="46"/>
  <c r="O83" i="43"/>
  <c r="E35" i="46"/>
  <c r="O51" i="43"/>
  <c r="E105" i="46"/>
  <c r="O19" i="43"/>
  <c r="O394" i="43"/>
  <c r="O362" i="43"/>
  <c r="O330" i="43"/>
  <c r="O298" i="43"/>
  <c r="O266" i="43"/>
  <c r="E243" i="46"/>
  <c r="O234" i="43"/>
  <c r="E222" i="46"/>
  <c r="O213" i="43"/>
  <c r="E347" i="46"/>
  <c r="O341" i="43"/>
  <c r="E132" i="46"/>
  <c r="O62" i="43"/>
  <c r="E180" i="46"/>
  <c r="O150" i="43"/>
  <c r="E200" i="46"/>
  <c r="O182" i="43"/>
  <c r="E199" i="46"/>
  <c r="O180" i="43"/>
  <c r="E150" i="46"/>
  <c r="O90" i="43"/>
  <c r="E242" i="46"/>
  <c r="O233" i="43"/>
  <c r="E367" i="46"/>
  <c r="O361" i="43"/>
  <c r="O82" i="43"/>
  <c r="E185" i="46"/>
  <c r="O155" i="43"/>
  <c r="E204" i="46"/>
  <c r="O187" i="43"/>
  <c r="E205" i="46"/>
  <c r="O188" i="43"/>
  <c r="E139" i="46"/>
  <c r="O74" i="43"/>
  <c r="O221" i="43"/>
  <c r="O349" i="43"/>
  <c r="O70" i="43"/>
  <c r="E182" i="46"/>
  <c r="O152" i="43"/>
  <c r="E311" i="46"/>
  <c r="O305" i="43"/>
  <c r="E34" i="46"/>
  <c r="O177" i="43"/>
  <c r="E65" i="46"/>
  <c r="O113" i="43"/>
  <c r="E144" i="46"/>
  <c r="O81" i="43"/>
  <c r="E14" i="46"/>
  <c r="O49" i="43"/>
  <c r="E103" i="46"/>
  <c r="O17" i="43"/>
  <c r="O392" i="43"/>
  <c r="O360" i="43"/>
  <c r="O328" i="43"/>
  <c r="O296" i="43"/>
  <c r="E272" i="46"/>
  <c r="O264" i="43"/>
  <c r="E241" i="46"/>
  <c r="O232" i="43"/>
  <c r="E166" i="46"/>
  <c r="O124" i="43"/>
  <c r="E151" i="46"/>
  <c r="O92" i="43"/>
  <c r="E131" i="46"/>
  <c r="O60" i="43"/>
  <c r="E17" i="46"/>
  <c r="O28" i="43"/>
  <c r="E407" i="46"/>
  <c r="O403" i="43"/>
  <c r="E376" i="46"/>
  <c r="O371" i="43"/>
  <c r="E345" i="46"/>
  <c r="O339" i="43"/>
  <c r="E313" i="46"/>
  <c r="O307" i="43"/>
  <c r="E283" i="46"/>
  <c r="O275" i="43"/>
  <c r="E252" i="46"/>
  <c r="O243" i="43"/>
  <c r="E220" i="46"/>
  <c r="O211" i="43"/>
  <c r="E161" i="46"/>
  <c r="O111" i="43"/>
  <c r="E142" i="46"/>
  <c r="O79" i="43"/>
  <c r="E124" i="46"/>
  <c r="O47" i="43"/>
  <c r="E102" i="46"/>
  <c r="O15" i="43"/>
  <c r="E394" i="46"/>
  <c r="O390" i="43"/>
  <c r="E364" i="46"/>
  <c r="O358" i="43"/>
  <c r="E332" i="46"/>
  <c r="O326" i="43"/>
  <c r="E301" i="46"/>
  <c r="O294" i="43"/>
  <c r="E270" i="46"/>
  <c r="O262" i="43"/>
  <c r="O230" i="43"/>
  <c r="Q65" i="40"/>
  <c r="Q102" i="40"/>
  <c r="Q366" i="40"/>
  <c r="S51" i="40"/>
  <c r="F51" i="40" s="1"/>
  <c r="S397" i="40"/>
  <c r="Q318" i="40"/>
  <c r="Q429" i="40"/>
  <c r="S367" i="40"/>
  <c r="T367" i="40" s="1"/>
  <c r="Q85" i="40"/>
  <c r="Q350" i="40"/>
  <c r="Q185" i="40"/>
  <c r="I320" i="40"/>
  <c r="P308" i="39"/>
  <c r="Q308" i="39" s="1"/>
  <c r="H446" i="39"/>
  <c r="I446" i="39" s="1"/>
  <c r="L446" i="39"/>
  <c r="M446" i="39" s="1"/>
  <c r="P444" i="39"/>
  <c r="Q444" i="39" s="1"/>
  <c r="H434" i="39"/>
  <c r="I434" i="39" s="1"/>
  <c r="L434" i="39"/>
  <c r="M434" i="39" s="1"/>
  <c r="I422" i="40"/>
  <c r="J422" i="40" s="1"/>
  <c r="P410" i="39"/>
  <c r="Q410" i="39" s="1"/>
  <c r="P343" i="39"/>
  <c r="Q343" i="39" s="1"/>
  <c r="H341" i="39"/>
  <c r="I341" i="39" s="1"/>
  <c r="P341" i="39"/>
  <c r="Q341" i="39" s="1"/>
  <c r="H339" i="39"/>
  <c r="I339" i="39" s="1"/>
  <c r="I351" i="40"/>
  <c r="H331" i="39"/>
  <c r="I331" i="39" s="1"/>
  <c r="P325" i="39"/>
  <c r="Q325" i="39" s="1"/>
  <c r="H323" i="39"/>
  <c r="I323" i="39" s="1"/>
  <c r="D104" i="41"/>
  <c r="E104" i="41" s="1"/>
  <c r="D101" i="41"/>
  <c r="E101" i="41" s="1"/>
  <c r="F101" i="41" s="1"/>
  <c r="D100" i="41"/>
  <c r="E100" i="41" s="1"/>
  <c r="Q117" i="40"/>
  <c r="R117" i="40" s="1"/>
  <c r="Q270" i="40"/>
  <c r="Q430" i="40"/>
  <c r="S233" i="40"/>
  <c r="Q169" i="40"/>
  <c r="Q201" i="40"/>
  <c r="S147" i="40"/>
  <c r="F147" i="40" s="1"/>
  <c r="H147" i="40" s="1"/>
  <c r="Q302" i="40"/>
  <c r="R302" i="40" s="1"/>
  <c r="Q334" i="40"/>
  <c r="R334" i="40" s="1"/>
  <c r="Q236" i="40"/>
  <c r="Q399" i="40"/>
  <c r="S53" i="40"/>
  <c r="Q116" i="40"/>
  <c r="Q148" i="40"/>
  <c r="D72" i="41"/>
  <c r="H599" i="40"/>
  <c r="H518" i="40"/>
  <c r="H620" i="40"/>
  <c r="H602" i="40"/>
  <c r="J455" i="40"/>
  <c r="K455" i="40" s="1"/>
  <c r="F111" i="40"/>
  <c r="H111" i="40" s="1"/>
  <c r="F68" i="40"/>
  <c r="F230" i="40"/>
  <c r="H230" i="40" s="1"/>
  <c r="F102" i="40"/>
  <c r="F52" i="40"/>
  <c r="H52" i="40" s="1"/>
  <c r="F152" i="40"/>
  <c r="H152" i="40" s="1"/>
  <c r="F148" i="40"/>
  <c r="F236" i="40"/>
  <c r="H236" i="40" s="1"/>
  <c r="F201" i="40"/>
  <c r="F86" i="40"/>
  <c r="H521" i="40"/>
  <c r="H608" i="40"/>
  <c r="H532" i="40"/>
  <c r="H27" i="39"/>
  <c r="I27" i="39" s="1"/>
  <c r="I32" i="40"/>
  <c r="H10" i="39"/>
  <c r="H337" i="39"/>
  <c r="I337" i="39" s="1"/>
  <c r="I35" i="40"/>
  <c r="I426" i="40"/>
  <c r="J426" i="40" s="1"/>
  <c r="I343" i="40"/>
  <c r="P414" i="39"/>
  <c r="Q414" i="39" s="1"/>
  <c r="P405" i="39"/>
  <c r="Q405" i="39" s="1"/>
  <c r="P321" i="39"/>
  <c r="Q321" i="39" s="1"/>
  <c r="E64" i="41"/>
  <c r="L414" i="39"/>
  <c r="M414" i="39" s="1"/>
  <c r="C18" i="39"/>
  <c r="H18" i="39" s="1"/>
  <c r="I18" i="39" s="1"/>
  <c r="I442" i="40"/>
  <c r="P337" i="39"/>
  <c r="Q337" i="39" s="1"/>
  <c r="C79" i="41"/>
  <c r="D79" i="41" s="1"/>
  <c r="E79" i="41" s="1"/>
  <c r="H405" i="39"/>
  <c r="I405" i="39" s="1"/>
  <c r="D106" i="41"/>
  <c r="E106" i="41" s="1"/>
  <c r="F106" i="41" s="1"/>
  <c r="J456" i="40"/>
  <c r="H304" i="39"/>
  <c r="I304" i="39" s="1"/>
  <c r="I310" i="40"/>
  <c r="H321" i="39"/>
  <c r="I321" i="39" s="1"/>
  <c r="H260" i="39"/>
  <c r="I260" i="39" s="1"/>
  <c r="H279" i="39"/>
  <c r="I279" i="39" s="1"/>
  <c r="I291" i="40"/>
  <c r="L424" i="39"/>
  <c r="M424" i="39" s="1"/>
  <c r="D84" i="41"/>
  <c r="N201" i="40"/>
  <c r="E184" i="46"/>
  <c r="N233" i="40"/>
  <c r="E203" i="46"/>
  <c r="N236" i="40"/>
  <c r="E206" i="46"/>
  <c r="N364" i="40"/>
  <c r="E319" i="46"/>
  <c r="N254" i="40"/>
  <c r="E217" i="46"/>
  <c r="N288" i="40"/>
  <c r="E246" i="46"/>
  <c r="N352" i="40"/>
  <c r="E308" i="46"/>
  <c r="N172" i="40"/>
  <c r="E57" i="46"/>
  <c r="N391" i="40"/>
  <c r="E346" i="46"/>
  <c r="N327" i="40"/>
  <c r="E284" i="46"/>
  <c r="N434" i="40"/>
  <c r="E387" i="46"/>
  <c r="O369" i="40"/>
  <c r="F324" i="46"/>
  <c r="O433" i="40"/>
  <c r="P433" i="40" s="1"/>
  <c r="F386" i="46"/>
  <c r="O87" i="40"/>
  <c r="F119" i="46"/>
  <c r="O150" i="40"/>
  <c r="P150" i="40" s="1"/>
  <c r="F157" i="46"/>
  <c r="O186" i="40"/>
  <c r="P186" i="40" s="1"/>
  <c r="F173" i="46"/>
  <c r="O218" i="40"/>
  <c r="P218" i="40" s="1"/>
  <c r="F5" i="46"/>
  <c r="O254" i="40"/>
  <c r="P254" i="40" s="1"/>
  <c r="F217" i="46"/>
  <c r="O323" i="40"/>
  <c r="P323" i="40" s="1"/>
  <c r="F280" i="46"/>
  <c r="O355" i="40"/>
  <c r="P355" i="40" s="1"/>
  <c r="F310" i="46"/>
  <c r="O419" i="40"/>
  <c r="P419" i="40" s="1"/>
  <c r="F19" i="46"/>
  <c r="O73" i="40"/>
  <c r="P73" i="40" s="1"/>
  <c r="F109" i="46"/>
  <c r="O105" i="40"/>
  <c r="P105" i="40" s="1"/>
  <c r="F129" i="46"/>
  <c r="O162" i="40"/>
  <c r="P162" i="40" s="1"/>
  <c r="F60" i="46"/>
  <c r="O195" i="40"/>
  <c r="P195" i="40" s="1"/>
  <c r="F178" i="46"/>
  <c r="O227" i="40"/>
  <c r="P227" i="40" s="1"/>
  <c r="F199" i="46"/>
  <c r="O146" i="40"/>
  <c r="P146" i="40" s="1"/>
  <c r="F83" i="46"/>
  <c r="O114" i="40"/>
  <c r="P114" i="40" s="1"/>
  <c r="F50" i="46"/>
  <c r="O82" i="40"/>
  <c r="P82" i="40" s="1"/>
  <c r="F115" i="46"/>
  <c r="O444" i="40"/>
  <c r="P444" i="40" s="1"/>
  <c r="F397" i="46"/>
  <c r="O412" i="40"/>
  <c r="P412" i="40" s="1"/>
  <c r="F367" i="46"/>
  <c r="O380" i="40"/>
  <c r="P380" i="40" s="1"/>
  <c r="F335" i="46"/>
  <c r="O348" i="40"/>
  <c r="P348" i="40" s="1"/>
  <c r="F304" i="46"/>
  <c r="O316" i="40"/>
  <c r="P316" i="40" s="1"/>
  <c r="F273" i="46"/>
  <c r="O284" i="40"/>
  <c r="P284" i="40" s="1"/>
  <c r="F242" i="46"/>
  <c r="O319" i="40"/>
  <c r="F276" i="46"/>
  <c r="O287" i="40"/>
  <c r="P287" i="40" s="1"/>
  <c r="F245" i="46"/>
  <c r="O164" i="40"/>
  <c r="P164" i="40" s="1"/>
  <c r="F163" i="46"/>
  <c r="O132" i="40"/>
  <c r="P132" i="40" s="1"/>
  <c r="F30" i="46"/>
  <c r="O100" i="40"/>
  <c r="P100" i="40" s="1"/>
  <c r="F21" i="46"/>
  <c r="O446" i="40"/>
  <c r="F399" i="46"/>
  <c r="O414" i="40"/>
  <c r="P414" i="40" s="1"/>
  <c r="F369" i="46"/>
  <c r="O382" i="40"/>
  <c r="P382" i="40" s="1"/>
  <c r="F337" i="46"/>
  <c r="O350" i="40"/>
  <c r="F306" i="46"/>
  <c r="O318" i="40"/>
  <c r="P318" i="40" s="1"/>
  <c r="F275" i="46"/>
  <c r="O286" i="40"/>
  <c r="F286" i="40" s="1"/>
  <c r="H286" i="40" s="1"/>
  <c r="F244" i="46"/>
  <c r="O281" i="40"/>
  <c r="F239" i="46"/>
  <c r="O333" i="40"/>
  <c r="P333" i="40" s="1"/>
  <c r="F72" i="46"/>
  <c r="O397" i="40"/>
  <c r="P397" i="40" s="1"/>
  <c r="F352" i="46"/>
  <c r="O51" i="40"/>
  <c r="P51" i="40" s="1"/>
  <c r="F9" i="46"/>
  <c r="O115" i="40"/>
  <c r="P115" i="40" s="1"/>
  <c r="F136" i="46"/>
  <c r="O172" i="40"/>
  <c r="P172" i="40" s="1"/>
  <c r="F57" i="46"/>
  <c r="O335" i="40"/>
  <c r="F291" i="46"/>
  <c r="Q100" i="40"/>
  <c r="R100" i="40" s="1"/>
  <c r="Q186" i="40"/>
  <c r="Q365" i="40"/>
  <c r="R365" i="40" s="1"/>
  <c r="T453" i="40"/>
  <c r="S333" i="40"/>
  <c r="S281" i="40"/>
  <c r="T281" i="40" s="1"/>
  <c r="S164" i="40"/>
  <c r="F164" i="40" s="1"/>
  <c r="N248" i="40"/>
  <c r="E215" i="46"/>
  <c r="N85" i="40"/>
  <c r="E117" i="46"/>
  <c r="N149" i="40"/>
  <c r="E156" i="46"/>
  <c r="N307" i="40"/>
  <c r="E264" i="46"/>
  <c r="N275" i="40"/>
  <c r="E233" i="46"/>
  <c r="N147" i="40"/>
  <c r="E154" i="46"/>
  <c r="N115" i="40"/>
  <c r="E136" i="46"/>
  <c r="O377" i="40"/>
  <c r="P377" i="40" s="1"/>
  <c r="F332" i="46"/>
  <c r="O441" i="40"/>
  <c r="P441" i="40" s="1"/>
  <c r="F394" i="46"/>
  <c r="O95" i="40"/>
  <c r="P95" i="40" s="1"/>
  <c r="F125" i="46"/>
  <c r="O155" i="40"/>
  <c r="P155" i="40" s="1"/>
  <c r="F77" i="46"/>
  <c r="O190" i="40"/>
  <c r="P190" i="40" s="1"/>
  <c r="F176" i="46"/>
  <c r="O222" i="40"/>
  <c r="P222" i="40" s="1"/>
  <c r="F196" i="46"/>
  <c r="O168" i="40"/>
  <c r="P168" i="40" s="1"/>
  <c r="F48" i="46"/>
  <c r="O277" i="40"/>
  <c r="P277" i="40" s="1"/>
  <c r="F235" i="46"/>
  <c r="O363" i="40"/>
  <c r="P363" i="40" s="1"/>
  <c r="F318" i="46"/>
  <c r="O427" i="40"/>
  <c r="P427" i="40" s="1"/>
  <c r="F380" i="46"/>
  <c r="O81" i="40"/>
  <c r="P81" i="40" s="1"/>
  <c r="F114" i="46"/>
  <c r="O113" i="40"/>
  <c r="P113" i="40" s="1"/>
  <c r="F135" i="46"/>
  <c r="O167" i="40"/>
  <c r="P167" i="40" s="1"/>
  <c r="F47" i="46"/>
  <c r="O199" i="40"/>
  <c r="P199" i="40" s="1"/>
  <c r="F182" i="46"/>
  <c r="O231" i="40"/>
  <c r="P231" i="40" s="1"/>
  <c r="F202" i="46"/>
  <c r="O208" i="40"/>
  <c r="P208" i="40" s="1"/>
  <c r="F79" i="46"/>
  <c r="O126" i="40"/>
  <c r="P126" i="40" s="1"/>
  <c r="F142" i="46"/>
  <c r="O456" i="40"/>
  <c r="P456" i="40" s="1"/>
  <c r="F25" i="46"/>
  <c r="O424" i="40"/>
  <c r="P424" i="40" s="1"/>
  <c r="F377" i="46"/>
  <c r="O392" i="40"/>
  <c r="P392" i="40" s="1"/>
  <c r="F347" i="46"/>
  <c r="O360" i="40"/>
  <c r="P360" i="40" s="1"/>
  <c r="F315" i="46"/>
  <c r="O328" i="40"/>
  <c r="P328" i="40" s="1"/>
  <c r="F285" i="46"/>
  <c r="O296" i="40"/>
  <c r="P296" i="40" s="1"/>
  <c r="F254" i="46"/>
  <c r="O264" i="40"/>
  <c r="P264" i="40" s="1"/>
  <c r="F222" i="46"/>
  <c r="O315" i="40"/>
  <c r="P315" i="40" s="1"/>
  <c r="F272" i="46"/>
  <c r="O283" i="40"/>
  <c r="P283" i="40" s="1"/>
  <c r="F241" i="46"/>
  <c r="O267" i="40"/>
  <c r="P267" i="40" s="1"/>
  <c r="F225" i="46"/>
  <c r="O160" i="40"/>
  <c r="P160" i="40" s="1"/>
  <c r="F65" i="46"/>
  <c r="O144" i="40"/>
  <c r="P144" i="40" s="1"/>
  <c r="F153" i="46"/>
  <c r="O128" i="40"/>
  <c r="P128" i="40" s="1"/>
  <c r="F144" i="46"/>
  <c r="O112" i="40"/>
  <c r="P112" i="40" s="1"/>
  <c r="F54" i="46"/>
  <c r="O96" i="40"/>
  <c r="P96" i="40" s="1"/>
  <c r="F14" i="46"/>
  <c r="O80" i="40"/>
  <c r="P80" i="40" s="1"/>
  <c r="F113" i="46"/>
  <c r="O458" i="40"/>
  <c r="P458" i="40" s="1"/>
  <c r="F410" i="46"/>
  <c r="O442" i="40"/>
  <c r="P442" i="40" s="1"/>
  <c r="F395" i="46"/>
  <c r="O426" i="40"/>
  <c r="P426" i="40" s="1"/>
  <c r="F379" i="46"/>
  <c r="O410" i="40"/>
  <c r="P410" i="40" s="1"/>
  <c r="F365" i="46"/>
  <c r="O394" i="40"/>
  <c r="P394" i="40" s="1"/>
  <c r="F349" i="46"/>
  <c r="O378" i="40"/>
  <c r="P378" i="40" s="1"/>
  <c r="F333" i="46"/>
  <c r="O362" i="40"/>
  <c r="P362" i="40" s="1"/>
  <c r="F317" i="46"/>
  <c r="O346" i="40"/>
  <c r="P346" i="40" s="1"/>
  <c r="F302" i="46"/>
  <c r="O330" i="40"/>
  <c r="P330" i="40" s="1"/>
  <c r="F287" i="46"/>
  <c r="O314" i="40"/>
  <c r="P314" i="40" s="1"/>
  <c r="F271" i="46"/>
  <c r="O298" i="40"/>
  <c r="P298" i="40" s="1"/>
  <c r="F256" i="46"/>
  <c r="O282" i="40"/>
  <c r="P282" i="40" s="1"/>
  <c r="F240" i="46"/>
  <c r="O266" i="40"/>
  <c r="P266" i="40" s="1"/>
  <c r="F224" i="46"/>
  <c r="O297" i="40"/>
  <c r="P297" i="40" s="1"/>
  <c r="F255" i="46"/>
  <c r="O341" i="40"/>
  <c r="P341" i="40" s="1"/>
  <c r="F297" i="46"/>
  <c r="O373" i="40"/>
  <c r="P373" i="40" s="1"/>
  <c r="F328" i="46"/>
  <c r="O405" i="40"/>
  <c r="P405" i="40" s="1"/>
  <c r="F360" i="46"/>
  <c r="O437" i="40"/>
  <c r="P437" i="40" s="1"/>
  <c r="F390" i="46"/>
  <c r="O59" i="40"/>
  <c r="P59" i="40" s="1"/>
  <c r="F100" i="46"/>
  <c r="O91" i="40"/>
  <c r="P91" i="40" s="1"/>
  <c r="F122" i="46"/>
  <c r="O123" i="40"/>
  <c r="P123" i="40" s="1"/>
  <c r="F70" i="46"/>
  <c r="O188" i="40"/>
  <c r="P188" i="40" s="1"/>
  <c r="F175" i="46"/>
  <c r="O252" i="40"/>
  <c r="P252" i="40" s="1"/>
  <c r="F90" i="46"/>
  <c r="O301" i="40"/>
  <c r="P301" i="40" s="1"/>
  <c r="F74" i="46"/>
  <c r="O343" i="40"/>
  <c r="P343" i="40" s="1"/>
  <c r="F299" i="46"/>
  <c r="N217" i="40"/>
  <c r="E78" i="46"/>
  <c r="N249" i="40"/>
  <c r="E86" i="46"/>
  <c r="N239" i="40"/>
  <c r="E209" i="46"/>
  <c r="N300" i="40"/>
  <c r="E258" i="46"/>
  <c r="N428" i="40"/>
  <c r="E381" i="46"/>
  <c r="N169" i="40"/>
  <c r="E55" i="46"/>
  <c r="N455" i="40"/>
  <c r="E408" i="46"/>
  <c r="N359" i="40"/>
  <c r="E314" i="46"/>
  <c r="O289" i="40"/>
  <c r="P289" i="40" s="1"/>
  <c r="F247" i="46"/>
  <c r="O337" i="40"/>
  <c r="P337" i="40" s="1"/>
  <c r="F293" i="46"/>
  <c r="O401" i="40"/>
  <c r="P401" i="40" s="1"/>
  <c r="F356" i="46"/>
  <c r="O55" i="40"/>
  <c r="P55" i="40" s="1"/>
  <c r="F96" i="46"/>
  <c r="O119" i="40"/>
  <c r="P119" i="40" s="1"/>
  <c r="F138" i="46"/>
  <c r="O170" i="40"/>
  <c r="P170" i="40" s="1"/>
  <c r="F165" i="46"/>
  <c r="O202" i="40"/>
  <c r="P202" i="40" s="1"/>
  <c r="F185" i="46"/>
  <c r="O234" i="40"/>
  <c r="P234" i="40" s="1"/>
  <c r="F204" i="46"/>
  <c r="O216" i="40"/>
  <c r="P216" i="40" s="1"/>
  <c r="F43" i="46"/>
  <c r="O261" i="40"/>
  <c r="P261" i="40" s="1"/>
  <c r="F219" i="46"/>
  <c r="O387" i="40"/>
  <c r="P387" i="40" s="1"/>
  <c r="F342" i="46"/>
  <c r="O451" i="40"/>
  <c r="P451" i="40" s="1"/>
  <c r="F404" i="46"/>
  <c r="O137" i="40"/>
  <c r="P137" i="40" s="1"/>
  <c r="F150" i="46"/>
  <c r="O179" i="40"/>
  <c r="P179" i="40" s="1"/>
  <c r="F169" i="46"/>
  <c r="O211" i="40"/>
  <c r="P211" i="40" s="1"/>
  <c r="F73" i="46"/>
  <c r="O243" i="40"/>
  <c r="P243" i="40" s="1"/>
  <c r="F212" i="46"/>
  <c r="O192" i="40"/>
  <c r="P192" i="40" s="1"/>
  <c r="F16" i="46"/>
  <c r="O130" i="40"/>
  <c r="P130" i="40" s="1"/>
  <c r="F38" i="46"/>
  <c r="O98" i="40"/>
  <c r="P98" i="40" s="1"/>
  <c r="F35" i="46"/>
  <c r="O66" i="40"/>
  <c r="P66" i="40" s="1"/>
  <c r="F105" i="46"/>
  <c r="O50" i="40"/>
  <c r="P50" i="40" s="1"/>
  <c r="F92" i="46"/>
  <c r="O428" i="40"/>
  <c r="F381" i="46"/>
  <c r="O396" i="40"/>
  <c r="P396" i="40" s="1"/>
  <c r="F351" i="46"/>
  <c r="O364" i="40"/>
  <c r="P364" i="40" s="1"/>
  <c r="F319" i="46"/>
  <c r="O332" i="40"/>
  <c r="P332" i="40" s="1"/>
  <c r="F289" i="46"/>
  <c r="O300" i="40"/>
  <c r="F258" i="46"/>
  <c r="O268" i="40"/>
  <c r="P268" i="40" s="1"/>
  <c r="F226" i="46"/>
  <c r="O303" i="40"/>
  <c r="P303" i="40" s="1"/>
  <c r="F260" i="46"/>
  <c r="O271" i="40"/>
  <c r="P271" i="40" s="1"/>
  <c r="F229" i="46"/>
  <c r="O148" i="40"/>
  <c r="P148" i="40" s="1"/>
  <c r="F155" i="46"/>
  <c r="O116" i="40"/>
  <c r="P116" i="40" s="1"/>
  <c r="F137" i="46"/>
  <c r="O84" i="40"/>
  <c r="F116" i="46"/>
  <c r="O68" i="40"/>
  <c r="P68" i="40" s="1"/>
  <c r="F106" i="46"/>
  <c r="O52" i="40"/>
  <c r="P52" i="40" s="1"/>
  <c r="F93" i="46"/>
  <c r="O430" i="40"/>
  <c r="P430" i="40" s="1"/>
  <c r="F383" i="46"/>
  <c r="O398" i="40"/>
  <c r="F398" i="40" s="1"/>
  <c r="H398" i="40" s="1"/>
  <c r="F353" i="46"/>
  <c r="O366" i="40"/>
  <c r="F366" i="40" s="1"/>
  <c r="F321" i="46"/>
  <c r="O334" i="40"/>
  <c r="F290" i="46"/>
  <c r="O302" i="40"/>
  <c r="P302" i="40" s="1"/>
  <c r="F259" i="46"/>
  <c r="O270" i="40"/>
  <c r="P270" i="40" s="1"/>
  <c r="F228" i="46"/>
  <c r="O365" i="40"/>
  <c r="P365" i="40" s="1"/>
  <c r="F320" i="46"/>
  <c r="O429" i="40"/>
  <c r="F429" i="40" s="1"/>
  <c r="H429" i="40" s="1"/>
  <c r="F382" i="46"/>
  <c r="O83" i="40"/>
  <c r="F83" i="40" s="1"/>
  <c r="F58" i="46"/>
  <c r="O236" i="40"/>
  <c r="P236" i="40" s="1"/>
  <c r="F206" i="46"/>
  <c r="O285" i="40"/>
  <c r="P285" i="40" s="1"/>
  <c r="F243" i="46"/>
  <c r="Q84" i="40"/>
  <c r="N141" i="40"/>
  <c r="E152" i="46"/>
  <c r="N205" i="40"/>
  <c r="E186" i="46"/>
  <c r="N304" i="40"/>
  <c r="E261" i="46"/>
  <c r="N368" i="40"/>
  <c r="E323" i="46"/>
  <c r="N291" i="40"/>
  <c r="E249" i="46"/>
  <c r="N83" i="40"/>
  <c r="E58" i="46"/>
  <c r="N51" i="40"/>
  <c r="E9" i="46"/>
  <c r="O305" i="40"/>
  <c r="P305" i="40" s="1"/>
  <c r="F262" i="46"/>
  <c r="O345" i="40"/>
  <c r="P345" i="40" s="1"/>
  <c r="F301" i="46"/>
  <c r="O409" i="40"/>
  <c r="P409" i="40" s="1"/>
  <c r="F364" i="46"/>
  <c r="O63" i="40"/>
  <c r="P63" i="40" s="1"/>
  <c r="F12" i="46"/>
  <c r="O127" i="40"/>
  <c r="P127" i="40" s="1"/>
  <c r="F143" i="46"/>
  <c r="O174" i="40"/>
  <c r="P174" i="40" s="1"/>
  <c r="F39" i="46"/>
  <c r="O206" i="40"/>
  <c r="P206" i="40" s="1"/>
  <c r="F187" i="46"/>
  <c r="O238" i="40"/>
  <c r="P238" i="40" s="1"/>
  <c r="F208" i="46"/>
  <c r="O232" i="40"/>
  <c r="P232" i="40" s="1"/>
  <c r="F63" i="46"/>
  <c r="O331" i="40"/>
  <c r="P331" i="40" s="1"/>
  <c r="F288" i="46"/>
  <c r="O395" i="40"/>
  <c r="P395" i="40" s="1"/>
  <c r="F350" i="46"/>
  <c r="O260" i="40"/>
  <c r="P260" i="40" s="1"/>
  <c r="F218" i="46"/>
  <c r="O145" i="40"/>
  <c r="P145" i="40" s="1"/>
  <c r="F41" i="46"/>
  <c r="O183" i="40"/>
  <c r="P183" i="40" s="1"/>
  <c r="F170" i="46"/>
  <c r="O215" i="40"/>
  <c r="P215" i="40" s="1"/>
  <c r="F192" i="46"/>
  <c r="O247" i="40"/>
  <c r="P247" i="40" s="1"/>
  <c r="F214" i="46"/>
  <c r="O139" i="40"/>
  <c r="P139" i="40" s="1"/>
  <c r="F151" i="46"/>
  <c r="O142" i="40"/>
  <c r="P142" i="40" s="1"/>
  <c r="F37" i="46"/>
  <c r="O110" i="40"/>
  <c r="P110" i="40" s="1"/>
  <c r="F133" i="46"/>
  <c r="O94" i="40"/>
  <c r="P94" i="40" s="1"/>
  <c r="F124" i="46"/>
  <c r="O78" i="40"/>
  <c r="P78" i="40" s="1"/>
  <c r="F8" i="46"/>
  <c r="O62" i="40"/>
  <c r="P62" i="40" s="1"/>
  <c r="F102" i="46"/>
  <c r="O440" i="40"/>
  <c r="P440" i="40" s="1"/>
  <c r="F393" i="46"/>
  <c r="O408" i="40"/>
  <c r="F363" i="46"/>
  <c r="O376" i="40"/>
  <c r="P376" i="40" s="1"/>
  <c r="F331" i="46"/>
  <c r="O344" i="40"/>
  <c r="P344" i="40" s="1"/>
  <c r="F300" i="46"/>
  <c r="O312" i="40"/>
  <c r="P312" i="40" s="1"/>
  <c r="F269" i="46"/>
  <c r="O280" i="40"/>
  <c r="P280" i="40" s="1"/>
  <c r="F238" i="46"/>
  <c r="O299" i="40"/>
  <c r="P299" i="40" s="1"/>
  <c r="F257" i="46"/>
  <c r="O64" i="40"/>
  <c r="P64" i="40" s="1"/>
  <c r="F103" i="46"/>
  <c r="Q52" i="40"/>
  <c r="R52" i="40" s="1"/>
  <c r="Q68" i="40"/>
  <c r="R68" i="40" s="1"/>
  <c r="Q115" i="40"/>
  <c r="Q254" i="40"/>
  <c r="Q285" i="40"/>
  <c r="R285" i="40" s="1"/>
  <c r="Q333" i="40"/>
  <c r="R333" i="40" s="1"/>
  <c r="Q335" i="40"/>
  <c r="R335" i="40" s="1"/>
  <c r="Q382" i="40"/>
  <c r="R382" i="40" s="1"/>
  <c r="Q446" i="40"/>
  <c r="R446" i="40" s="1"/>
  <c r="Q414" i="40"/>
  <c r="R414" i="40" s="1"/>
  <c r="Q398" i="40"/>
  <c r="S172" i="40"/>
  <c r="N193" i="40"/>
  <c r="E177" i="46"/>
  <c r="N209" i="40"/>
  <c r="E188" i="46"/>
  <c r="N225" i="40"/>
  <c r="E197" i="46"/>
  <c r="N241" i="40"/>
  <c r="E7" i="46"/>
  <c r="N292" i="40"/>
  <c r="E250" i="46"/>
  <c r="N89" i="40"/>
  <c r="E61" i="46"/>
  <c r="N177" i="40"/>
  <c r="E168" i="46"/>
  <c r="N246" i="40"/>
  <c r="E42" i="46"/>
  <c r="N324" i="40"/>
  <c r="E281" i="46"/>
  <c r="N204" i="40"/>
  <c r="E33" i="46"/>
  <c r="N320" i="40"/>
  <c r="E277" i="46"/>
  <c r="N101" i="40"/>
  <c r="E127" i="46"/>
  <c r="N219" i="40"/>
  <c r="E193" i="46"/>
  <c r="N308" i="40"/>
  <c r="E265" i="46"/>
  <c r="N212" i="40"/>
  <c r="E88" i="46"/>
  <c r="N180" i="40"/>
  <c r="E26" i="46"/>
  <c r="N164" i="40"/>
  <c r="E163" i="46"/>
  <c r="N148" i="40"/>
  <c r="E155" i="46"/>
  <c r="N132" i="40"/>
  <c r="E30" i="46"/>
  <c r="N116" i="40"/>
  <c r="E137" i="46"/>
  <c r="N100" i="40"/>
  <c r="E21" i="46"/>
  <c r="N84" i="40"/>
  <c r="E116" i="46"/>
  <c r="N68" i="40"/>
  <c r="E106" i="46"/>
  <c r="N52" i="40"/>
  <c r="E93" i="46"/>
  <c r="N447" i="40"/>
  <c r="E400" i="46"/>
  <c r="N431" i="40"/>
  <c r="E384" i="46"/>
  <c r="N415" i="40"/>
  <c r="E370" i="46"/>
  <c r="N399" i="40"/>
  <c r="E354" i="46"/>
  <c r="N383" i="40"/>
  <c r="E338" i="46"/>
  <c r="N367" i="40"/>
  <c r="E322" i="46"/>
  <c r="N351" i="40"/>
  <c r="E307" i="46"/>
  <c r="N335" i="40"/>
  <c r="E291" i="46"/>
  <c r="N159" i="40"/>
  <c r="E162" i="46"/>
  <c r="N178" i="40"/>
  <c r="E24" i="46"/>
  <c r="N445" i="40"/>
  <c r="E398" i="46"/>
  <c r="N413" i="40"/>
  <c r="E368" i="46"/>
  <c r="N381" i="40"/>
  <c r="E336" i="46"/>
  <c r="N349" i="40"/>
  <c r="E305" i="46"/>
  <c r="N317" i="40"/>
  <c r="E274" i="46"/>
  <c r="O321" i="40"/>
  <c r="P321" i="40" s="1"/>
  <c r="F278" i="46"/>
  <c r="O353" i="40"/>
  <c r="P353" i="40" s="1"/>
  <c r="F309" i="46"/>
  <c r="O385" i="40"/>
  <c r="P385" i="40" s="1"/>
  <c r="F340" i="46"/>
  <c r="O417" i="40"/>
  <c r="P417" i="40" s="1"/>
  <c r="F372" i="46"/>
  <c r="O449" i="40"/>
  <c r="P449" i="40" s="1"/>
  <c r="F402" i="46"/>
  <c r="O71" i="40"/>
  <c r="P71" i="40" s="1"/>
  <c r="F107" i="46"/>
  <c r="O103" i="40"/>
  <c r="P103" i="40" s="1"/>
  <c r="F128" i="46"/>
  <c r="O135" i="40"/>
  <c r="P135" i="40" s="1"/>
  <c r="F75" i="46"/>
  <c r="O161" i="40"/>
  <c r="F59" i="46"/>
  <c r="O178" i="40"/>
  <c r="P178" i="40" s="1"/>
  <c r="F24" i="46"/>
  <c r="O194" i="40"/>
  <c r="P194" i="40" s="1"/>
  <c r="F6" i="46"/>
  <c r="O210" i="40"/>
  <c r="P210" i="40" s="1"/>
  <c r="F189" i="46"/>
  <c r="O226" i="40"/>
  <c r="P226" i="40" s="1"/>
  <c r="F198" i="46"/>
  <c r="O242" i="40"/>
  <c r="P242" i="40" s="1"/>
  <c r="F211" i="46"/>
  <c r="O184" i="40"/>
  <c r="P184" i="40" s="1"/>
  <c r="F171" i="46"/>
  <c r="O248" i="40"/>
  <c r="P248" i="40" s="1"/>
  <c r="F215" i="46"/>
  <c r="O293" i="40"/>
  <c r="F251" i="46"/>
  <c r="O339" i="40"/>
  <c r="P339" i="40" s="1"/>
  <c r="F295" i="46"/>
  <c r="O371" i="40"/>
  <c r="P371" i="40" s="1"/>
  <c r="F326" i="46"/>
  <c r="O403" i="40"/>
  <c r="P403" i="40" s="1"/>
  <c r="F358" i="46"/>
  <c r="O435" i="40"/>
  <c r="P435" i="40" s="1"/>
  <c r="F388" i="46"/>
  <c r="O57" i="40"/>
  <c r="P57" i="40" s="1"/>
  <c r="F98" i="46"/>
  <c r="O89" i="40"/>
  <c r="P89" i="40" s="1"/>
  <c r="F61" i="46"/>
  <c r="O121" i="40"/>
  <c r="P121" i="40" s="1"/>
  <c r="F139" i="46"/>
  <c r="O151" i="40"/>
  <c r="P151" i="40" s="1"/>
  <c r="F158" i="46"/>
  <c r="O171" i="40"/>
  <c r="P171" i="40" s="1"/>
  <c r="F166" i="46"/>
  <c r="O187" i="40"/>
  <c r="P187" i="40" s="1"/>
  <c r="F174" i="46"/>
  <c r="O203" i="40"/>
  <c r="P203" i="40" s="1"/>
  <c r="F62" i="46"/>
  <c r="O219" i="40"/>
  <c r="P219" i="40" s="1"/>
  <c r="F193" i="46"/>
  <c r="O235" i="40"/>
  <c r="P235" i="40" s="1"/>
  <c r="F205" i="46"/>
  <c r="O251" i="40"/>
  <c r="P251" i="40" s="1"/>
  <c r="F87" i="46"/>
  <c r="O163" i="40"/>
  <c r="P163" i="40" s="1"/>
  <c r="F64" i="46"/>
  <c r="O224" i="40"/>
  <c r="P224" i="40" s="1"/>
  <c r="F34" i="46"/>
  <c r="O138" i="40"/>
  <c r="P138" i="40" s="1"/>
  <c r="F82" i="46"/>
  <c r="O122" i="40"/>
  <c r="P122" i="40" s="1"/>
  <c r="F140" i="46"/>
  <c r="O106" i="40"/>
  <c r="P106" i="40" s="1"/>
  <c r="F130" i="46"/>
  <c r="O90" i="40"/>
  <c r="P90" i="40" s="1"/>
  <c r="F121" i="46"/>
  <c r="O74" i="40"/>
  <c r="P74" i="40" s="1"/>
  <c r="F67" i="46"/>
  <c r="O58" i="40"/>
  <c r="P58" i="40" s="1"/>
  <c r="F99" i="46"/>
  <c r="O452" i="40"/>
  <c r="P452" i="40" s="1"/>
  <c r="F405" i="46"/>
  <c r="O436" i="40"/>
  <c r="P436" i="40" s="1"/>
  <c r="F389" i="46"/>
  <c r="O420" i="40"/>
  <c r="P420" i="40" s="1"/>
  <c r="F374" i="46"/>
  <c r="O404" i="40"/>
  <c r="P404" i="40" s="1"/>
  <c r="F359" i="46"/>
  <c r="O388" i="40"/>
  <c r="P388" i="40" s="1"/>
  <c r="F343" i="46"/>
  <c r="O372" i="40"/>
  <c r="P372" i="40" s="1"/>
  <c r="F327" i="46"/>
  <c r="O356" i="40"/>
  <c r="P356" i="40" s="1"/>
  <c r="F311" i="46"/>
  <c r="O340" i="40"/>
  <c r="P340" i="40" s="1"/>
  <c r="F296" i="46"/>
  <c r="O324" i="40"/>
  <c r="P324" i="40" s="1"/>
  <c r="F281" i="46"/>
  <c r="O308" i="40"/>
  <c r="P308" i="40" s="1"/>
  <c r="F265" i="46"/>
  <c r="O292" i="40"/>
  <c r="P292" i="40" s="1"/>
  <c r="F250" i="46"/>
  <c r="O276" i="40"/>
  <c r="P276" i="40" s="1"/>
  <c r="F234" i="46"/>
  <c r="O459" i="40"/>
  <c r="P459" i="40" s="1"/>
  <c r="F411" i="46"/>
  <c r="O311" i="40"/>
  <c r="P311" i="40" s="1"/>
  <c r="F268" i="46"/>
  <c r="O295" i="40"/>
  <c r="P295" i="40" s="1"/>
  <c r="F253" i="46"/>
  <c r="O279" i="40"/>
  <c r="P279" i="40" s="1"/>
  <c r="F237" i="46"/>
  <c r="O263" i="40"/>
  <c r="P263" i="40" s="1"/>
  <c r="F221" i="46"/>
  <c r="O156" i="40"/>
  <c r="P156" i="40" s="1"/>
  <c r="F76" i="46"/>
  <c r="O140" i="40"/>
  <c r="P140" i="40" s="1"/>
  <c r="F44" i="46"/>
  <c r="O124" i="40"/>
  <c r="P124" i="40" s="1"/>
  <c r="F141" i="46"/>
  <c r="O108" i="40"/>
  <c r="P108" i="40" s="1"/>
  <c r="F18" i="46"/>
  <c r="O92" i="40"/>
  <c r="P92" i="40" s="1"/>
  <c r="F123" i="46"/>
  <c r="O76" i="40"/>
  <c r="P76" i="40" s="1"/>
  <c r="F110" i="46"/>
  <c r="O60" i="40"/>
  <c r="P60" i="40" s="1"/>
  <c r="F11" i="46"/>
  <c r="O454" i="40"/>
  <c r="P454" i="40" s="1"/>
  <c r="F407" i="46"/>
  <c r="O438" i="40"/>
  <c r="P438" i="40" s="1"/>
  <c r="F391" i="46"/>
  <c r="O422" i="40"/>
  <c r="P422" i="40" s="1"/>
  <c r="F376" i="46"/>
  <c r="O406" i="40"/>
  <c r="P406" i="40" s="1"/>
  <c r="F361" i="46"/>
  <c r="O390" i="40"/>
  <c r="P390" i="40" s="1"/>
  <c r="F345" i="46"/>
  <c r="O374" i="40"/>
  <c r="P374" i="40" s="1"/>
  <c r="F329" i="46"/>
  <c r="O358" i="40"/>
  <c r="P358" i="40" s="1"/>
  <c r="F313" i="46"/>
  <c r="O342" i="40"/>
  <c r="P342" i="40" s="1"/>
  <c r="F298" i="46"/>
  <c r="O326" i="40"/>
  <c r="P326" i="40" s="1"/>
  <c r="F283" i="46"/>
  <c r="O310" i="40"/>
  <c r="P310" i="40" s="1"/>
  <c r="F267" i="46"/>
  <c r="O294" i="40"/>
  <c r="P294" i="40" s="1"/>
  <c r="F252" i="46"/>
  <c r="O278" i="40"/>
  <c r="P278" i="40" s="1"/>
  <c r="F236" i="46"/>
  <c r="O262" i="40"/>
  <c r="P262" i="40" s="1"/>
  <c r="F220" i="46"/>
  <c r="O313" i="40"/>
  <c r="F270" i="46"/>
  <c r="O349" i="40"/>
  <c r="P349" i="40" s="1"/>
  <c r="F305" i="46"/>
  <c r="O381" i="40"/>
  <c r="P381" i="40" s="1"/>
  <c r="F336" i="46"/>
  <c r="O413" i="40"/>
  <c r="P413" i="40" s="1"/>
  <c r="F368" i="46"/>
  <c r="O445" i="40"/>
  <c r="P445" i="40" s="1"/>
  <c r="F398" i="46"/>
  <c r="O67" i="40"/>
  <c r="P67" i="40" s="1"/>
  <c r="F10" i="46"/>
  <c r="O99" i="40"/>
  <c r="P99" i="40" s="1"/>
  <c r="F29" i="46"/>
  <c r="O131" i="40"/>
  <c r="P131" i="40" s="1"/>
  <c r="F146" i="46"/>
  <c r="O204" i="40"/>
  <c r="P204" i="40" s="1"/>
  <c r="F33" i="46"/>
  <c r="O317" i="40"/>
  <c r="P317" i="40" s="1"/>
  <c r="F274" i="46"/>
  <c r="O351" i="40"/>
  <c r="P351" i="40" s="1"/>
  <c r="F307" i="46"/>
  <c r="O383" i="40"/>
  <c r="P383" i="40" s="1"/>
  <c r="F338" i="46"/>
  <c r="O415" i="40"/>
  <c r="P415" i="40" s="1"/>
  <c r="F370" i="46"/>
  <c r="O447" i="40"/>
  <c r="P447" i="40" s="1"/>
  <c r="F400" i="46"/>
  <c r="O69" i="40"/>
  <c r="P69" i="40" s="1"/>
  <c r="F15" i="46"/>
  <c r="O101" i="40"/>
  <c r="P101" i="40" s="1"/>
  <c r="F127" i="46"/>
  <c r="O133" i="40"/>
  <c r="P133" i="40" s="1"/>
  <c r="F147" i="46"/>
  <c r="O159" i="40"/>
  <c r="P159" i="40" s="1"/>
  <c r="F162" i="46"/>
  <c r="O177" i="40"/>
  <c r="P177" i="40" s="1"/>
  <c r="F168" i="46"/>
  <c r="O193" i="40"/>
  <c r="P193" i="40" s="1"/>
  <c r="F177" i="46"/>
  <c r="O209" i="40"/>
  <c r="P209" i="40" s="1"/>
  <c r="F188" i="46"/>
  <c r="O225" i="40"/>
  <c r="P225" i="40" s="1"/>
  <c r="F197" i="46"/>
  <c r="O241" i="40"/>
  <c r="P241" i="40" s="1"/>
  <c r="F7" i="46"/>
  <c r="O246" i="40"/>
  <c r="P246" i="40" s="1"/>
  <c r="F42" i="46"/>
  <c r="O180" i="40"/>
  <c r="P180" i="40" s="1"/>
  <c r="F26" i="46"/>
  <c r="O244" i="40"/>
  <c r="P244" i="40" s="1"/>
  <c r="F213" i="46"/>
  <c r="N65" i="40"/>
  <c r="E104" i="46"/>
  <c r="N129" i="40"/>
  <c r="E145" i="46"/>
  <c r="N185" i="40"/>
  <c r="E172" i="46"/>
  <c r="N250" i="40"/>
  <c r="E216" i="46"/>
  <c r="N272" i="40"/>
  <c r="E230" i="46"/>
  <c r="N336" i="40"/>
  <c r="E292" i="46"/>
  <c r="N400" i="40"/>
  <c r="E355" i="46"/>
  <c r="N53" i="40"/>
  <c r="E94" i="46"/>
  <c r="N117" i="40"/>
  <c r="E51" i="46"/>
  <c r="N176" i="40"/>
  <c r="E167" i="46"/>
  <c r="N443" i="40"/>
  <c r="E396" i="46"/>
  <c r="N411" i="40"/>
  <c r="E366" i="46"/>
  <c r="N379" i="40"/>
  <c r="E334" i="46"/>
  <c r="N347" i="40"/>
  <c r="E303" i="46"/>
  <c r="N457" i="40"/>
  <c r="E409" i="46"/>
  <c r="N393" i="40"/>
  <c r="E348" i="46"/>
  <c r="N361" i="40"/>
  <c r="E316" i="46"/>
  <c r="N329" i="40"/>
  <c r="E286" i="46"/>
  <c r="N281" i="40"/>
  <c r="E239" i="46"/>
  <c r="O273" i="40"/>
  <c r="P273" i="40" s="1"/>
  <c r="F231" i="46"/>
  <c r="O329" i="40"/>
  <c r="P329" i="40" s="1"/>
  <c r="F286" i="46"/>
  <c r="O361" i="40"/>
  <c r="P361" i="40" s="1"/>
  <c r="F316" i="46"/>
  <c r="O393" i="40"/>
  <c r="F393" i="40" s="1"/>
  <c r="H393" i="40" s="1"/>
  <c r="F348" i="46"/>
  <c r="O425" i="40"/>
  <c r="P425" i="40" s="1"/>
  <c r="F378" i="46"/>
  <c r="O457" i="40"/>
  <c r="P457" i="40" s="1"/>
  <c r="F409" i="46"/>
  <c r="O79" i="40"/>
  <c r="F79" i="40" s="1"/>
  <c r="H79" i="40" s="1"/>
  <c r="F112" i="46"/>
  <c r="O111" i="40"/>
  <c r="P111" i="40" s="1"/>
  <c r="F134" i="46"/>
  <c r="O143" i="40"/>
  <c r="P143" i="40" s="1"/>
  <c r="F23" i="46"/>
  <c r="O166" i="40"/>
  <c r="P166" i="40" s="1"/>
  <c r="F49" i="46"/>
  <c r="O182" i="40"/>
  <c r="F32" i="46"/>
  <c r="O198" i="40"/>
  <c r="F198" i="40" s="1"/>
  <c r="H198" i="40" s="1"/>
  <c r="F181" i="46"/>
  <c r="O214" i="40"/>
  <c r="P214" i="40" s="1"/>
  <c r="F191" i="46"/>
  <c r="O230" i="40"/>
  <c r="P230" i="40" s="1"/>
  <c r="F201" i="46"/>
  <c r="O250" i="40"/>
  <c r="P250" i="40" s="1"/>
  <c r="F216" i="46"/>
  <c r="O200" i="40"/>
  <c r="F200" i="40" s="1"/>
  <c r="F183" i="46"/>
  <c r="O309" i="40"/>
  <c r="P309" i="40" s="1"/>
  <c r="F266" i="46"/>
  <c r="O347" i="40"/>
  <c r="P347" i="40" s="1"/>
  <c r="F303" i="46"/>
  <c r="O379" i="40"/>
  <c r="P379" i="40" s="1"/>
  <c r="F334" i="46"/>
  <c r="O411" i="40"/>
  <c r="P411" i="40" s="1"/>
  <c r="F366" i="46"/>
  <c r="O443" i="40"/>
  <c r="P443" i="40" s="1"/>
  <c r="F396" i="46"/>
  <c r="O65" i="40"/>
  <c r="F65" i="40" s="1"/>
  <c r="F104" i="46"/>
  <c r="O97" i="40"/>
  <c r="F126" i="46"/>
  <c r="O129" i="40"/>
  <c r="P129" i="40" s="1"/>
  <c r="F145" i="46"/>
  <c r="O157" i="40"/>
  <c r="P157" i="40" s="1"/>
  <c r="F84" i="46"/>
  <c r="O175" i="40"/>
  <c r="P175" i="40" s="1"/>
  <c r="F66" i="46"/>
  <c r="O191" i="40"/>
  <c r="P191" i="40" s="1"/>
  <c r="F28" i="46"/>
  <c r="O207" i="40"/>
  <c r="P207" i="40" s="1"/>
  <c r="F69" i="46"/>
  <c r="O223" i="40"/>
  <c r="P223" i="40" s="1"/>
  <c r="F68" i="46"/>
  <c r="O239" i="40"/>
  <c r="F239" i="40" s="1"/>
  <c r="H239" i="40" s="1"/>
  <c r="F209" i="46"/>
  <c r="O255" i="40"/>
  <c r="P255" i="40" s="1"/>
  <c r="F71" i="46"/>
  <c r="O176" i="40"/>
  <c r="P176" i="40" s="1"/>
  <c r="F167" i="46"/>
  <c r="O240" i="40"/>
  <c r="F240" i="40" s="1"/>
  <c r="F210" i="46"/>
  <c r="O134" i="40"/>
  <c r="P134" i="40" s="1"/>
  <c r="F148" i="46"/>
  <c r="O118" i="40"/>
  <c r="F52" i="46"/>
  <c r="O102" i="40"/>
  <c r="P102" i="40" s="1"/>
  <c r="F45" i="46"/>
  <c r="O86" i="40"/>
  <c r="P86" i="40" s="1"/>
  <c r="F118" i="46"/>
  <c r="O70" i="40"/>
  <c r="P70" i="40" s="1"/>
  <c r="F13" i="46"/>
  <c r="O54" i="40"/>
  <c r="F54" i="40" s="1"/>
  <c r="F95" i="46"/>
  <c r="O448" i="40"/>
  <c r="P448" i="40" s="1"/>
  <c r="F401" i="46"/>
  <c r="O432" i="40"/>
  <c r="F385" i="46"/>
  <c r="O416" i="40"/>
  <c r="P416" i="40" s="1"/>
  <c r="F371" i="46"/>
  <c r="O400" i="40"/>
  <c r="P400" i="40" s="1"/>
  <c r="F355" i="46"/>
  <c r="O384" i="40"/>
  <c r="P384" i="40" s="1"/>
  <c r="F339" i="46"/>
  <c r="O368" i="40"/>
  <c r="P368" i="40" s="1"/>
  <c r="F323" i="46"/>
  <c r="O352" i="40"/>
  <c r="P352" i="40" s="1"/>
  <c r="F308" i="46"/>
  <c r="O336" i="40"/>
  <c r="F292" i="46"/>
  <c r="O320" i="40"/>
  <c r="P320" i="40" s="1"/>
  <c r="F277" i="46"/>
  <c r="O304" i="40"/>
  <c r="P304" i="40" s="1"/>
  <c r="F261" i="46"/>
  <c r="O288" i="40"/>
  <c r="P288" i="40" s="1"/>
  <c r="F246" i="46"/>
  <c r="O272" i="40"/>
  <c r="F272" i="40" s="1"/>
  <c r="F230" i="46"/>
  <c r="O307" i="40"/>
  <c r="P307" i="40" s="1"/>
  <c r="F264" i="46"/>
  <c r="O291" i="40"/>
  <c r="F249" i="46"/>
  <c r="O275" i="40"/>
  <c r="P275" i="40" s="1"/>
  <c r="F233" i="46"/>
  <c r="O152" i="40"/>
  <c r="P152" i="40" s="1"/>
  <c r="F159" i="46"/>
  <c r="O136" i="40"/>
  <c r="P136" i="40" s="1"/>
  <c r="F149" i="46"/>
  <c r="O120" i="40"/>
  <c r="P120" i="40" s="1"/>
  <c r="F53" i="46"/>
  <c r="O104" i="40"/>
  <c r="P104" i="40" s="1"/>
  <c r="F36" i="46"/>
  <c r="O88" i="40"/>
  <c r="P88" i="40" s="1"/>
  <c r="F120" i="46"/>
  <c r="O72" i="40"/>
  <c r="P72" i="40" s="1"/>
  <c r="F108" i="46"/>
  <c r="O56" i="40"/>
  <c r="P56" i="40" s="1"/>
  <c r="F97" i="46"/>
  <c r="O450" i="40"/>
  <c r="P450" i="40" s="1"/>
  <c r="F403" i="46"/>
  <c r="O434" i="40"/>
  <c r="P434" i="40" s="1"/>
  <c r="F387" i="46"/>
  <c r="O418" i="40"/>
  <c r="P418" i="40" s="1"/>
  <c r="F373" i="46"/>
  <c r="O402" i="40"/>
  <c r="P402" i="40" s="1"/>
  <c r="F357" i="46"/>
  <c r="O386" i="40"/>
  <c r="P386" i="40" s="1"/>
  <c r="F341" i="46"/>
  <c r="O370" i="40"/>
  <c r="P370" i="40" s="1"/>
  <c r="F325" i="46"/>
  <c r="O354" i="40"/>
  <c r="P354" i="40" s="1"/>
  <c r="F89" i="46"/>
  <c r="O338" i="40"/>
  <c r="P338" i="40" s="1"/>
  <c r="F294" i="46"/>
  <c r="O322" i="40"/>
  <c r="P322" i="40" s="1"/>
  <c r="F279" i="46"/>
  <c r="O306" i="40"/>
  <c r="P306" i="40" s="1"/>
  <c r="F263" i="46"/>
  <c r="O290" i="40"/>
  <c r="P290" i="40" s="1"/>
  <c r="F248" i="46"/>
  <c r="O274" i="40"/>
  <c r="P274" i="40" s="1"/>
  <c r="F232" i="46"/>
  <c r="O265" i="40"/>
  <c r="P265" i="40" s="1"/>
  <c r="F223" i="46"/>
  <c r="O325" i="40"/>
  <c r="F325" i="40" s="1"/>
  <c r="H325" i="40" s="1"/>
  <c r="F282" i="46"/>
  <c r="O357" i="40"/>
  <c r="P357" i="40" s="1"/>
  <c r="F312" i="46"/>
  <c r="O389" i="40"/>
  <c r="F344" i="46"/>
  <c r="O421" i="40"/>
  <c r="P421" i="40" s="1"/>
  <c r="F375" i="46"/>
  <c r="O453" i="40"/>
  <c r="P453" i="40" s="1"/>
  <c r="F406" i="46"/>
  <c r="O75" i="40"/>
  <c r="P75" i="40" s="1"/>
  <c r="F17" i="46"/>
  <c r="O107" i="40"/>
  <c r="P107" i="40" s="1"/>
  <c r="F131" i="46"/>
  <c r="O153" i="40"/>
  <c r="P153" i="40" s="1"/>
  <c r="F160" i="46"/>
  <c r="O220" i="40"/>
  <c r="F194" i="46"/>
  <c r="O269" i="40"/>
  <c r="P269" i="40" s="1"/>
  <c r="F227" i="46"/>
  <c r="O327" i="40"/>
  <c r="P327" i="40" s="1"/>
  <c r="F284" i="46"/>
  <c r="O359" i="40"/>
  <c r="P359" i="40" s="1"/>
  <c r="F314" i="46"/>
  <c r="O391" i="40"/>
  <c r="P391" i="40" s="1"/>
  <c r="F346" i="46"/>
  <c r="O423" i="40"/>
  <c r="P423" i="40" s="1"/>
  <c r="F85" i="46"/>
  <c r="O455" i="40"/>
  <c r="P455" i="40" s="1"/>
  <c r="F408" i="46"/>
  <c r="O77" i="40"/>
  <c r="P77" i="40" s="1"/>
  <c r="F111" i="46"/>
  <c r="O109" i="40"/>
  <c r="P109" i="40" s="1"/>
  <c r="F132" i="46"/>
  <c r="O141" i="40"/>
  <c r="P141" i="40" s="1"/>
  <c r="F152" i="46"/>
  <c r="O165" i="40"/>
  <c r="P165" i="40" s="1"/>
  <c r="F164" i="46"/>
  <c r="O181" i="40"/>
  <c r="P181" i="40" s="1"/>
  <c r="F27" i="46"/>
  <c r="O197" i="40"/>
  <c r="F180" i="46"/>
  <c r="O213" i="40"/>
  <c r="P213" i="40" s="1"/>
  <c r="F190" i="46"/>
  <c r="O229" i="40"/>
  <c r="P229" i="40" s="1"/>
  <c r="F200" i="46"/>
  <c r="O245" i="40"/>
  <c r="P245" i="40" s="1"/>
  <c r="F20" i="46"/>
  <c r="F91" i="46"/>
  <c r="S49" i="40"/>
  <c r="F49" i="40" s="1"/>
  <c r="H49" i="40" s="1"/>
  <c r="Q49" i="40"/>
  <c r="R49" i="40" s="1"/>
  <c r="O196" i="40"/>
  <c r="P196" i="40" s="1"/>
  <c r="F179" i="46"/>
  <c r="O367" i="40"/>
  <c r="P367" i="40" s="1"/>
  <c r="F322" i="46"/>
  <c r="O399" i="40"/>
  <c r="P399" i="40" s="1"/>
  <c r="F354" i="46"/>
  <c r="O431" i="40"/>
  <c r="F431" i="40" s="1"/>
  <c r="H431" i="40" s="1"/>
  <c r="F384" i="46"/>
  <c r="O53" i="40"/>
  <c r="P53" i="40" s="1"/>
  <c r="F94" i="46"/>
  <c r="O85" i="40"/>
  <c r="P85" i="40" s="1"/>
  <c r="F117" i="46"/>
  <c r="O117" i="40"/>
  <c r="P117" i="40" s="1"/>
  <c r="F51" i="46"/>
  <c r="O149" i="40"/>
  <c r="F156" i="46"/>
  <c r="O169" i="40"/>
  <c r="P169" i="40" s="1"/>
  <c r="F55" i="46"/>
  <c r="O185" i="40"/>
  <c r="P185" i="40" s="1"/>
  <c r="F172" i="46"/>
  <c r="O201" i="40"/>
  <c r="P201" i="40" s="1"/>
  <c r="F184" i="46"/>
  <c r="O217" i="40"/>
  <c r="P217" i="40" s="1"/>
  <c r="F78" i="46"/>
  <c r="O233" i="40"/>
  <c r="P233" i="40" s="1"/>
  <c r="F203" i="46"/>
  <c r="O249" i="40"/>
  <c r="F86" i="46"/>
  <c r="O147" i="40"/>
  <c r="P147" i="40" s="1"/>
  <c r="F154" i="46"/>
  <c r="O212" i="40"/>
  <c r="P212" i="40" s="1"/>
  <c r="F88" i="46"/>
  <c r="O375" i="40"/>
  <c r="P375" i="40" s="1"/>
  <c r="F330" i="46"/>
  <c r="O407" i="40"/>
  <c r="P407" i="40" s="1"/>
  <c r="F362" i="46"/>
  <c r="O439" i="40"/>
  <c r="P439" i="40" s="1"/>
  <c r="F392" i="46"/>
  <c r="O61" i="40"/>
  <c r="P61" i="40" s="1"/>
  <c r="F101" i="46"/>
  <c r="O93" i="40"/>
  <c r="P93" i="40" s="1"/>
  <c r="F22" i="46"/>
  <c r="O125" i="40"/>
  <c r="P125" i="40" s="1"/>
  <c r="F81" i="46"/>
  <c r="O154" i="40"/>
  <c r="P154" i="40" s="1"/>
  <c r="F80" i="46"/>
  <c r="O173" i="40"/>
  <c r="P173" i="40" s="1"/>
  <c r="F46" i="46"/>
  <c r="O189" i="40"/>
  <c r="P189" i="40" s="1"/>
  <c r="F40" i="46"/>
  <c r="O205" i="40"/>
  <c r="P205" i="40" s="1"/>
  <c r="F186" i="46"/>
  <c r="O221" i="40"/>
  <c r="P221" i="40" s="1"/>
  <c r="F195" i="46"/>
  <c r="O237" i="40"/>
  <c r="P237" i="40" s="1"/>
  <c r="F207" i="46"/>
  <c r="O253" i="40"/>
  <c r="P253" i="40" s="1"/>
  <c r="F56" i="46"/>
  <c r="O158" i="40"/>
  <c r="P158" i="40" s="1"/>
  <c r="F161" i="46"/>
  <c r="O228" i="40"/>
  <c r="P228" i="40" s="1"/>
  <c r="F31" i="46"/>
  <c r="P198" i="40"/>
  <c r="S293" i="40"/>
  <c r="T293" i="40" s="1"/>
  <c r="P87" i="40"/>
  <c r="Q79" i="40"/>
  <c r="R79" i="40" s="1"/>
  <c r="Q111" i="40"/>
  <c r="R111" i="40" s="1"/>
  <c r="Q157" i="40"/>
  <c r="R157" i="40" s="1"/>
  <c r="Q182" i="40"/>
  <c r="R182" i="40" s="1"/>
  <c r="Q191" i="40"/>
  <c r="R191" i="40" s="1"/>
  <c r="Q239" i="40"/>
  <c r="R239" i="40" s="1"/>
  <c r="Q457" i="40"/>
  <c r="R457" i="40" s="1"/>
  <c r="Q411" i="40"/>
  <c r="R411" i="40" s="1"/>
  <c r="S329" i="40"/>
  <c r="F329" i="40" s="1"/>
  <c r="S309" i="40"/>
  <c r="T309" i="40" s="1"/>
  <c r="S273" i="40"/>
  <c r="F273" i="40" s="1"/>
  <c r="S255" i="40"/>
  <c r="F255" i="40" s="1"/>
  <c r="H255" i="40" s="1"/>
  <c r="S223" i="40"/>
  <c r="T223" i="40" s="1"/>
  <c r="S207" i="40"/>
  <c r="F207" i="40" s="1"/>
  <c r="S176" i="40"/>
  <c r="F176" i="40" s="1"/>
  <c r="S166" i="40"/>
  <c r="T166" i="40" s="1"/>
  <c r="S134" i="40"/>
  <c r="N425" i="40"/>
  <c r="N444" i="40"/>
  <c r="N97" i="40"/>
  <c r="N240" i="40"/>
  <c r="N432" i="40"/>
  <c r="N191" i="40"/>
  <c r="N207" i="40"/>
  <c r="N255" i="40"/>
  <c r="N451" i="40"/>
  <c r="N446" i="40"/>
  <c r="N430" i="40"/>
  <c r="N414" i="40"/>
  <c r="N398" i="40"/>
  <c r="N382" i="40"/>
  <c r="N366" i="40"/>
  <c r="N350" i="40"/>
  <c r="N334" i="40"/>
  <c r="N318" i="40"/>
  <c r="N302" i="40"/>
  <c r="N286" i="40"/>
  <c r="N270" i="40"/>
  <c r="N182" i="40"/>
  <c r="N166" i="40"/>
  <c r="N134" i="40"/>
  <c r="N118" i="40"/>
  <c r="N102" i="40"/>
  <c r="N86" i="40"/>
  <c r="N70" i="40"/>
  <c r="N54" i="40"/>
  <c r="P408" i="40"/>
  <c r="G21" i="40"/>
  <c r="Q200" i="40"/>
  <c r="R200" i="40" s="1"/>
  <c r="Q223" i="40"/>
  <c r="R223" i="40" s="1"/>
  <c r="Q347" i="40"/>
  <c r="R347" i="40" s="1"/>
  <c r="Q379" i="40"/>
  <c r="R379" i="40" s="1"/>
  <c r="Q425" i="40"/>
  <c r="R425" i="40" s="1"/>
  <c r="T325" i="40"/>
  <c r="S191" i="40"/>
  <c r="F191" i="40" s="1"/>
  <c r="H191" i="40" s="1"/>
  <c r="S175" i="40"/>
  <c r="F175" i="40" s="1"/>
  <c r="H175" i="40" s="1"/>
  <c r="N157" i="40"/>
  <c r="N223" i="40"/>
  <c r="N384" i="40"/>
  <c r="N448" i="40"/>
  <c r="N429" i="40"/>
  <c r="N397" i="40"/>
  <c r="N365" i="40"/>
  <c r="N333" i="40"/>
  <c r="N285" i="40"/>
  <c r="P161" i="40"/>
  <c r="P313" i="40"/>
  <c r="F457" i="40"/>
  <c r="H457" i="40" s="1"/>
  <c r="F347" i="40"/>
  <c r="F379" i="40"/>
  <c r="F411" i="40"/>
  <c r="H411" i="40" s="1"/>
  <c r="F129" i="40"/>
  <c r="F157" i="40"/>
  <c r="F448" i="40"/>
  <c r="F416" i="40"/>
  <c r="H416" i="40" s="1"/>
  <c r="F400" i="40"/>
  <c r="H400" i="40" s="1"/>
  <c r="F384" i="40"/>
  <c r="F320" i="40"/>
  <c r="F304" i="40"/>
  <c r="F288" i="40"/>
  <c r="F275" i="40"/>
  <c r="F421" i="40"/>
  <c r="H421" i="40" s="1"/>
  <c r="F453" i="40"/>
  <c r="H453" i="40" s="1"/>
  <c r="F165" i="40"/>
  <c r="F229" i="40"/>
  <c r="O49" i="40"/>
  <c r="P49" i="40" s="1"/>
  <c r="P369" i="40"/>
  <c r="P428" i="40"/>
  <c r="F268" i="40"/>
  <c r="H268" i="40" s="1"/>
  <c r="P319" i="40"/>
  <c r="F430" i="40"/>
  <c r="H430" i="40" s="1"/>
  <c r="F414" i="40"/>
  <c r="H414" i="40" s="1"/>
  <c r="F382" i="40"/>
  <c r="F350" i="40"/>
  <c r="H350" i="40" s="1"/>
  <c r="P350" i="40"/>
  <c r="F318" i="40"/>
  <c r="F302" i="40"/>
  <c r="F270" i="40"/>
  <c r="F333" i="40"/>
  <c r="F365" i="40"/>
  <c r="H365" i="40" s="1"/>
  <c r="F397" i="40"/>
  <c r="H397" i="40" s="1"/>
  <c r="F285" i="40"/>
  <c r="F399" i="40"/>
  <c r="H399" i="40" s="1"/>
  <c r="F169" i="40"/>
  <c r="H169" i="40" s="1"/>
  <c r="F185" i="40"/>
  <c r="J430" i="40"/>
  <c r="K430" i="40" s="1"/>
  <c r="J447" i="40"/>
  <c r="K447" i="40" s="1"/>
  <c r="J423" i="40"/>
  <c r="K423" i="40" s="1"/>
  <c r="J446" i="40"/>
  <c r="J438" i="40"/>
  <c r="R402" i="40"/>
  <c r="S409" i="40"/>
  <c r="T409" i="40" s="1"/>
  <c r="S155" i="40"/>
  <c r="F155" i="40" s="1"/>
  <c r="H155" i="40" s="1"/>
  <c r="S206" i="40"/>
  <c r="F206" i="40" s="1"/>
  <c r="H206" i="40" s="1"/>
  <c r="Q238" i="40"/>
  <c r="R238" i="40" s="1"/>
  <c r="Q277" i="40"/>
  <c r="R277" i="40" s="1"/>
  <c r="S395" i="40"/>
  <c r="T395" i="40" s="1"/>
  <c r="S81" i="40"/>
  <c r="Q167" i="40"/>
  <c r="R167" i="40" s="1"/>
  <c r="Q215" i="40"/>
  <c r="R215" i="40" s="1"/>
  <c r="S139" i="40"/>
  <c r="F139" i="40" s="1"/>
  <c r="S126" i="40"/>
  <c r="F126" i="40" s="1"/>
  <c r="H126" i="40" s="1"/>
  <c r="S62" i="40"/>
  <c r="F62" i="40" s="1"/>
  <c r="Q424" i="40"/>
  <c r="R424" i="40" s="1"/>
  <c r="Q376" i="40"/>
  <c r="R376" i="40" s="1"/>
  <c r="S328" i="40"/>
  <c r="F328" i="40" s="1"/>
  <c r="Q280" i="40"/>
  <c r="R280" i="40" s="1"/>
  <c r="S299" i="40"/>
  <c r="T299" i="40" s="1"/>
  <c r="Q160" i="40"/>
  <c r="R160" i="40" s="1"/>
  <c r="S458" i="40"/>
  <c r="F458" i="40" s="1"/>
  <c r="Q410" i="40"/>
  <c r="R410" i="40" s="1"/>
  <c r="S362" i="40"/>
  <c r="T362" i="40" s="1"/>
  <c r="Q298" i="40"/>
  <c r="R298" i="40" s="1"/>
  <c r="Q405" i="40"/>
  <c r="R405" i="40" s="1"/>
  <c r="S59" i="40"/>
  <c r="S123" i="40"/>
  <c r="F123" i="40" s="1"/>
  <c r="Q252" i="40"/>
  <c r="R252" i="40" s="1"/>
  <c r="S375" i="40"/>
  <c r="F375" i="40" s="1"/>
  <c r="H375" i="40" s="1"/>
  <c r="Q93" i="40"/>
  <c r="R93" i="40" s="1"/>
  <c r="S158" i="40"/>
  <c r="F158" i="40" s="1"/>
  <c r="H158" i="40" s="1"/>
  <c r="Q353" i="40"/>
  <c r="R353" i="40" s="1"/>
  <c r="Q417" i="40"/>
  <c r="R417" i="40" s="1"/>
  <c r="S71" i="40"/>
  <c r="S103" i="40"/>
  <c r="F103" i="40" s="1"/>
  <c r="H103" i="40" s="1"/>
  <c r="S135" i="40"/>
  <c r="F135" i="40" s="1"/>
  <c r="S178" i="40"/>
  <c r="Q194" i="40"/>
  <c r="R194" i="40" s="1"/>
  <c r="Q210" i="40"/>
  <c r="R210" i="40" s="1"/>
  <c r="Q242" i="40"/>
  <c r="R242" i="40" s="1"/>
  <c r="S184" i="40"/>
  <c r="F184" i="40" s="1"/>
  <c r="S248" i="40"/>
  <c r="Q293" i="40"/>
  <c r="R293" i="40" s="1"/>
  <c r="S339" i="40"/>
  <c r="T339" i="40" s="1"/>
  <c r="S435" i="40"/>
  <c r="F435" i="40" s="1"/>
  <c r="H435" i="40" s="1"/>
  <c r="Q57" i="40"/>
  <c r="R57" i="40" s="1"/>
  <c r="S89" i="40"/>
  <c r="S121" i="40"/>
  <c r="S151" i="40"/>
  <c r="T151" i="40" s="1"/>
  <c r="Q171" i="40"/>
  <c r="R171" i="40" s="1"/>
  <c r="S187" i="40"/>
  <c r="F187" i="40" s="1"/>
  <c r="H187" i="40" s="1"/>
  <c r="S203" i="40"/>
  <c r="F203" i="40" s="1"/>
  <c r="H203" i="40" s="1"/>
  <c r="S219" i="40"/>
  <c r="F219" i="40" s="1"/>
  <c r="H219" i="40" s="1"/>
  <c r="S235" i="40"/>
  <c r="F235" i="40" s="1"/>
  <c r="H235" i="40" s="1"/>
  <c r="S251" i="40"/>
  <c r="F251" i="40" s="1"/>
  <c r="H251" i="40" s="1"/>
  <c r="Q224" i="40"/>
  <c r="R224" i="40" s="1"/>
  <c r="S138" i="40"/>
  <c r="S122" i="40"/>
  <c r="S106" i="40"/>
  <c r="S90" i="40"/>
  <c r="F90" i="40" s="1"/>
  <c r="S74" i="40"/>
  <c r="F74" i="40" s="1"/>
  <c r="S58" i="40"/>
  <c r="S452" i="40"/>
  <c r="F452" i="40" s="1"/>
  <c r="H452" i="40" s="1"/>
  <c r="Q436" i="40"/>
  <c r="R436" i="40" s="1"/>
  <c r="S420" i="40"/>
  <c r="F420" i="40" s="1"/>
  <c r="H420" i="40" s="1"/>
  <c r="S404" i="40"/>
  <c r="T404" i="40" s="1"/>
  <c r="S388" i="40"/>
  <c r="F388" i="40" s="1"/>
  <c r="H388" i="40" s="1"/>
  <c r="S372" i="40"/>
  <c r="T372" i="40" s="1"/>
  <c r="S356" i="40"/>
  <c r="S340" i="40"/>
  <c r="S324" i="40"/>
  <c r="Q308" i="40"/>
  <c r="R308" i="40" s="1"/>
  <c r="S292" i="40"/>
  <c r="F292" i="40" s="1"/>
  <c r="H292" i="40" s="1"/>
  <c r="Q276" i="40"/>
  <c r="R276" i="40" s="1"/>
  <c r="S311" i="40"/>
  <c r="S295" i="40"/>
  <c r="T295" i="40" s="1"/>
  <c r="S279" i="40"/>
  <c r="F279" i="40" s="1"/>
  <c r="S263" i="40"/>
  <c r="F263" i="40" s="1"/>
  <c r="S156" i="40"/>
  <c r="F156" i="40" s="1"/>
  <c r="S140" i="40"/>
  <c r="T140" i="40" s="1"/>
  <c r="Q124" i="40"/>
  <c r="R124" i="40" s="1"/>
  <c r="S108" i="40"/>
  <c r="Q92" i="40"/>
  <c r="R92" i="40" s="1"/>
  <c r="S76" i="40"/>
  <c r="F76" i="40" s="1"/>
  <c r="S60" i="40"/>
  <c r="Q406" i="40"/>
  <c r="R406" i="40" s="1"/>
  <c r="Q390" i="40"/>
  <c r="R390" i="40" s="1"/>
  <c r="S374" i="40"/>
  <c r="T374" i="40" s="1"/>
  <c r="S342" i="40"/>
  <c r="T342" i="40" s="1"/>
  <c r="S326" i="40"/>
  <c r="F326" i="40" s="1"/>
  <c r="S294" i="40"/>
  <c r="T294" i="40" s="1"/>
  <c r="S313" i="40"/>
  <c r="T313" i="40" s="1"/>
  <c r="S349" i="40"/>
  <c r="S381" i="40"/>
  <c r="F381" i="40" s="1"/>
  <c r="S413" i="40"/>
  <c r="F413" i="40" s="1"/>
  <c r="H413" i="40" s="1"/>
  <c r="S445" i="40"/>
  <c r="T445" i="40" s="1"/>
  <c r="Q204" i="40"/>
  <c r="R204" i="40" s="1"/>
  <c r="S317" i="40"/>
  <c r="F317" i="40" s="1"/>
  <c r="S351" i="40"/>
  <c r="F351" i="40" s="1"/>
  <c r="H351" i="40" s="1"/>
  <c r="S383" i="40"/>
  <c r="F383" i="40" s="1"/>
  <c r="Q415" i="40"/>
  <c r="R415" i="40" s="1"/>
  <c r="Q69" i="40"/>
  <c r="R69" i="40" s="1"/>
  <c r="Q101" i="40"/>
  <c r="R101" i="40" s="1"/>
  <c r="Q133" i="40"/>
  <c r="R133" i="40" s="1"/>
  <c r="S159" i="40"/>
  <c r="S177" i="40"/>
  <c r="S193" i="40"/>
  <c r="S209" i="40"/>
  <c r="T209" i="40" s="1"/>
  <c r="S225" i="40"/>
  <c r="F225" i="40" s="1"/>
  <c r="S241" i="40"/>
  <c r="F241" i="40" s="1"/>
  <c r="S246" i="40"/>
  <c r="F246" i="40" s="1"/>
  <c r="H246" i="40" s="1"/>
  <c r="S180" i="40"/>
  <c r="F180" i="40" s="1"/>
  <c r="Q345" i="40"/>
  <c r="R345" i="40" s="1"/>
  <c r="S377" i="40"/>
  <c r="F377" i="40" s="1"/>
  <c r="Q63" i="40"/>
  <c r="R63" i="40" s="1"/>
  <c r="Q95" i="40"/>
  <c r="R95" i="40" s="1"/>
  <c r="S190" i="40"/>
  <c r="S222" i="40"/>
  <c r="Q232" i="40"/>
  <c r="R232" i="40" s="1"/>
  <c r="S363" i="40"/>
  <c r="F363" i="40" s="1"/>
  <c r="S260" i="40"/>
  <c r="F260" i="40" s="1"/>
  <c r="H260" i="40" s="1"/>
  <c r="Q145" i="40"/>
  <c r="R145" i="40" s="1"/>
  <c r="S199" i="40"/>
  <c r="S247" i="40"/>
  <c r="F247" i="40" s="1"/>
  <c r="H247" i="40" s="1"/>
  <c r="Q142" i="40"/>
  <c r="R142" i="40" s="1"/>
  <c r="S94" i="40"/>
  <c r="F94" i="40" s="1"/>
  <c r="S440" i="40"/>
  <c r="F440" i="40" s="1"/>
  <c r="S392" i="40"/>
  <c r="T392" i="40" s="1"/>
  <c r="S344" i="40"/>
  <c r="S312" i="40"/>
  <c r="Q264" i="40"/>
  <c r="R264" i="40" s="1"/>
  <c r="Q283" i="40"/>
  <c r="R283" i="40" s="1"/>
  <c r="Q144" i="40"/>
  <c r="R144" i="40" s="1"/>
  <c r="S112" i="40"/>
  <c r="Q442" i="40"/>
  <c r="R442" i="40" s="1"/>
  <c r="S394" i="40"/>
  <c r="T394" i="40" s="1"/>
  <c r="S346" i="40"/>
  <c r="F346" i="40" s="1"/>
  <c r="H346" i="40" s="1"/>
  <c r="Q314" i="40"/>
  <c r="R314" i="40" s="1"/>
  <c r="S266" i="40"/>
  <c r="F266" i="40" s="1"/>
  <c r="Q373" i="40"/>
  <c r="R373" i="40" s="1"/>
  <c r="S301" i="40"/>
  <c r="F301" i="40" s="1"/>
  <c r="H301" i="40" s="1"/>
  <c r="S439" i="40"/>
  <c r="Q125" i="40"/>
  <c r="R125" i="40" s="1"/>
  <c r="Q173" i="40"/>
  <c r="R173" i="40" s="1"/>
  <c r="Q205" i="40"/>
  <c r="R205" i="40" s="1"/>
  <c r="Q253" i="40"/>
  <c r="R253" i="40" s="1"/>
  <c r="S361" i="40"/>
  <c r="F361" i="40" s="1"/>
  <c r="H361" i="40" s="1"/>
  <c r="Q393" i="40"/>
  <c r="R393" i="40" s="1"/>
  <c r="S425" i="40"/>
  <c r="F425" i="40" s="1"/>
  <c r="H425" i="40" s="1"/>
  <c r="S143" i="40"/>
  <c r="F143" i="40" s="1"/>
  <c r="S214" i="40"/>
  <c r="F214" i="40" s="1"/>
  <c r="H214" i="40" s="1"/>
  <c r="Q230" i="40"/>
  <c r="R230" i="40" s="1"/>
  <c r="S250" i="40"/>
  <c r="T250" i="40" s="1"/>
  <c r="S120" i="40"/>
  <c r="S104" i="40"/>
  <c r="S72" i="40"/>
  <c r="F72" i="40" s="1"/>
  <c r="S450" i="40"/>
  <c r="T450" i="40" s="1"/>
  <c r="S434" i="40"/>
  <c r="F434" i="40" s="1"/>
  <c r="Q418" i="40"/>
  <c r="R418" i="40" s="1"/>
  <c r="S402" i="40"/>
  <c r="Q386" i="40"/>
  <c r="R386" i="40" s="1"/>
  <c r="S370" i="40"/>
  <c r="F370" i="40" s="1"/>
  <c r="S354" i="40"/>
  <c r="F354" i="40" s="1"/>
  <c r="Q338" i="40"/>
  <c r="R338" i="40" s="1"/>
  <c r="Q306" i="40"/>
  <c r="R306" i="40" s="1"/>
  <c r="S290" i="40"/>
  <c r="T290" i="40" s="1"/>
  <c r="S274" i="40"/>
  <c r="T274" i="40" s="1"/>
  <c r="S265" i="40"/>
  <c r="F265" i="40" s="1"/>
  <c r="Q325" i="40"/>
  <c r="R325" i="40" s="1"/>
  <c r="Q389" i="40"/>
  <c r="R389" i="40" s="1"/>
  <c r="Q421" i="40"/>
  <c r="R421" i="40" s="1"/>
  <c r="S107" i="40"/>
  <c r="F107" i="40" s="1"/>
  <c r="H107" i="40" s="1"/>
  <c r="S153" i="40"/>
  <c r="T153" i="40" s="1"/>
  <c r="S269" i="40"/>
  <c r="F269" i="40" s="1"/>
  <c r="S109" i="40"/>
  <c r="F109" i="40" s="1"/>
  <c r="H109" i="40" s="1"/>
  <c r="Q141" i="40"/>
  <c r="R141" i="40" s="1"/>
  <c r="Q165" i="40"/>
  <c r="R165" i="40" s="1"/>
  <c r="S181" i="40"/>
  <c r="Q197" i="40"/>
  <c r="R197" i="40" s="1"/>
  <c r="S213" i="40"/>
  <c r="F213" i="40" s="1"/>
  <c r="Q229" i="40"/>
  <c r="R229" i="40" s="1"/>
  <c r="S245" i="40"/>
  <c r="F245" i="40" s="1"/>
  <c r="H245" i="40" s="1"/>
  <c r="S305" i="40"/>
  <c r="T305" i="40" s="1"/>
  <c r="Q441" i="40"/>
  <c r="R441" i="40" s="1"/>
  <c r="S127" i="40"/>
  <c r="F127" i="40" s="1"/>
  <c r="S174" i="40"/>
  <c r="F174" i="40" s="1"/>
  <c r="H174" i="40" s="1"/>
  <c r="Q331" i="40"/>
  <c r="R331" i="40" s="1"/>
  <c r="S427" i="40"/>
  <c r="F427" i="40" s="1"/>
  <c r="H427" i="40" s="1"/>
  <c r="S113" i="40"/>
  <c r="T113" i="40" s="1"/>
  <c r="S183" i="40"/>
  <c r="S231" i="40"/>
  <c r="F231" i="40" s="1"/>
  <c r="S208" i="40"/>
  <c r="F208" i="40" s="1"/>
  <c r="H208" i="40" s="1"/>
  <c r="Q110" i="40"/>
  <c r="R110" i="40" s="1"/>
  <c r="S456" i="40"/>
  <c r="F456" i="40" s="1"/>
  <c r="S408" i="40"/>
  <c r="F408" i="40" s="1"/>
  <c r="H408" i="40" s="1"/>
  <c r="Q360" i="40"/>
  <c r="R360" i="40" s="1"/>
  <c r="S296" i="40"/>
  <c r="T296" i="40" s="1"/>
  <c r="S315" i="40"/>
  <c r="T315" i="40" s="1"/>
  <c r="Q267" i="40"/>
  <c r="R267" i="40" s="1"/>
  <c r="S128" i="40"/>
  <c r="S96" i="40"/>
  <c r="S80" i="40"/>
  <c r="F80" i="40" s="1"/>
  <c r="H80" i="40" s="1"/>
  <c r="S64" i="40"/>
  <c r="F64" i="40" s="1"/>
  <c r="Q426" i="40"/>
  <c r="R426" i="40" s="1"/>
  <c r="S378" i="40"/>
  <c r="T378" i="40" s="1"/>
  <c r="S330" i="40"/>
  <c r="F330" i="40" s="1"/>
  <c r="S282" i="40"/>
  <c r="T282" i="40" s="1"/>
  <c r="S341" i="40"/>
  <c r="F341" i="40" s="1"/>
  <c r="S437" i="40"/>
  <c r="F437" i="40" s="1"/>
  <c r="H437" i="40" s="1"/>
  <c r="S188" i="40"/>
  <c r="F188" i="40" s="1"/>
  <c r="S343" i="40"/>
  <c r="T343" i="40" s="1"/>
  <c r="S407" i="40"/>
  <c r="Q61" i="40"/>
  <c r="R61" i="40" s="1"/>
  <c r="Q154" i="40"/>
  <c r="R154" i="40" s="1"/>
  <c r="Q189" i="40"/>
  <c r="R189" i="40" s="1"/>
  <c r="S221" i="40"/>
  <c r="F221" i="40" s="1"/>
  <c r="S228" i="40"/>
  <c r="Q289" i="40"/>
  <c r="R289" i="40" s="1"/>
  <c r="S337" i="40"/>
  <c r="T337" i="40" s="1"/>
  <c r="S87" i="40"/>
  <c r="S119" i="40"/>
  <c r="F119" i="40" s="1"/>
  <c r="S150" i="40"/>
  <c r="S170" i="40"/>
  <c r="F170" i="40" s="1"/>
  <c r="S202" i="40"/>
  <c r="S218" i="40"/>
  <c r="S234" i="40"/>
  <c r="S254" i="40"/>
  <c r="F254" i="40" s="1"/>
  <c r="H254" i="40" s="1"/>
  <c r="S216" i="40"/>
  <c r="Q73" i="40"/>
  <c r="R73" i="40" s="1"/>
  <c r="Q105" i="40"/>
  <c r="R105" i="40" s="1"/>
  <c r="Q137" i="40"/>
  <c r="R137" i="40" s="1"/>
  <c r="S162" i="40"/>
  <c r="F162" i="40" s="1"/>
  <c r="H162" i="40" s="1"/>
  <c r="Q179" i="40"/>
  <c r="R179" i="40" s="1"/>
  <c r="S195" i="40"/>
  <c r="F195" i="40" s="1"/>
  <c r="H195" i="40" s="1"/>
  <c r="S211" i="40"/>
  <c r="F211" i="40" s="1"/>
  <c r="H211" i="40" s="1"/>
  <c r="S227" i="40"/>
  <c r="F227" i="40" s="1"/>
  <c r="H227" i="40" s="1"/>
  <c r="Q243" i="40"/>
  <c r="R243" i="40" s="1"/>
  <c r="S146" i="40"/>
  <c r="S130" i="40"/>
  <c r="T130" i="40" s="1"/>
  <c r="S114" i="40"/>
  <c r="T114" i="40" s="1"/>
  <c r="S98" i="40"/>
  <c r="S82" i="40"/>
  <c r="S66" i="40"/>
  <c r="T66" i="40" s="1"/>
  <c r="S50" i="40"/>
  <c r="F50" i="40" s="1"/>
  <c r="Q444" i="40"/>
  <c r="R444" i="40" s="1"/>
  <c r="Q428" i="40"/>
  <c r="R428" i="40" s="1"/>
  <c r="Q412" i="40"/>
  <c r="R412" i="40" s="1"/>
  <c r="Q396" i="40"/>
  <c r="R396" i="40" s="1"/>
  <c r="S380" i="40"/>
  <c r="T380" i="40" s="1"/>
  <c r="S364" i="40"/>
  <c r="S348" i="40"/>
  <c r="S332" i="40"/>
  <c r="Q300" i="40"/>
  <c r="R300" i="40" s="1"/>
  <c r="S284" i="40"/>
  <c r="Q268" i="40"/>
  <c r="R268" i="40" s="1"/>
  <c r="S271" i="40"/>
  <c r="F271" i="40" s="1"/>
  <c r="S426" i="40"/>
  <c r="Q409" i="40"/>
  <c r="R409" i="40" s="1"/>
  <c r="Q299" i="40"/>
  <c r="R299" i="40" s="1"/>
  <c r="Q378" i="40"/>
  <c r="R378" i="40" s="1"/>
  <c r="S267" i="40"/>
  <c r="T267" i="40" s="1"/>
  <c r="J439" i="40"/>
  <c r="K439" i="40" s="1"/>
  <c r="J415" i="40"/>
  <c r="J407" i="40"/>
  <c r="K407" i="40" s="1"/>
  <c r="J399" i="40"/>
  <c r="K399" i="40" s="1"/>
  <c r="J391" i="40"/>
  <c r="K391" i="40" s="1"/>
  <c r="E98" i="41"/>
  <c r="F98" i="41" s="1"/>
  <c r="D103" i="41"/>
  <c r="E103" i="41" s="1"/>
  <c r="C26" i="39"/>
  <c r="H442" i="39"/>
  <c r="I442" i="39" s="1"/>
  <c r="L442" i="39"/>
  <c r="M442" i="39" s="1"/>
  <c r="L412" i="39"/>
  <c r="M412" i="39" s="1"/>
  <c r="H412" i="39"/>
  <c r="I412" i="39" s="1"/>
  <c r="E73" i="41"/>
  <c r="C77" i="41"/>
  <c r="H11" i="39"/>
  <c r="I11" i="39" s="1"/>
  <c r="H438" i="39"/>
  <c r="I438" i="39" s="1"/>
  <c r="L438" i="39"/>
  <c r="M438" i="39" s="1"/>
  <c r="H430" i="39"/>
  <c r="I430" i="39" s="1"/>
  <c r="L430" i="39"/>
  <c r="M430" i="39" s="1"/>
  <c r="I454" i="40"/>
  <c r="J454" i="40" s="1"/>
  <c r="I417" i="40"/>
  <c r="J417" i="40" s="1"/>
  <c r="P432" i="39"/>
  <c r="Q432" i="39" s="1"/>
  <c r="P424" i="39"/>
  <c r="Q424" i="39" s="1"/>
  <c r="P420" i="39"/>
  <c r="Q420" i="39" s="1"/>
  <c r="P412" i="39"/>
  <c r="Q412" i="39" s="1"/>
  <c r="P312" i="39"/>
  <c r="Q312" i="39" s="1"/>
  <c r="P304" i="39"/>
  <c r="Q304" i="39" s="1"/>
  <c r="P296" i="39"/>
  <c r="Q296" i="39" s="1"/>
  <c r="P288" i="39"/>
  <c r="Q288" i="39" s="1"/>
  <c r="P268" i="39"/>
  <c r="Q268" i="39" s="1"/>
  <c r="P260" i="39"/>
  <c r="Q260" i="39" s="1"/>
  <c r="H432" i="39"/>
  <c r="I432" i="39" s="1"/>
  <c r="L432" i="39"/>
  <c r="M432" i="39" s="1"/>
  <c r="L403" i="39"/>
  <c r="M403" i="39" s="1"/>
  <c r="F105" i="41"/>
  <c r="J414" i="40"/>
  <c r="K414" i="40" s="1"/>
  <c r="J406" i="40"/>
  <c r="K406" i="40" s="1"/>
  <c r="J398" i="40"/>
  <c r="K398" i="40" s="1"/>
  <c r="J390" i="40"/>
  <c r="K390" i="40" s="1"/>
  <c r="I436" i="40"/>
  <c r="J436" i="40" s="1"/>
  <c r="I432" i="40"/>
  <c r="J432" i="40" s="1"/>
  <c r="I424" i="40"/>
  <c r="J424" i="40" s="1"/>
  <c r="P403" i="39"/>
  <c r="Q403" i="39" s="1"/>
  <c r="D73" i="41"/>
  <c r="C78" i="41"/>
  <c r="C29" i="39"/>
  <c r="D102" i="41"/>
  <c r="E102" i="41" s="1"/>
  <c r="E72" i="41"/>
  <c r="F72" i="41" s="1"/>
  <c r="C76" i="41"/>
  <c r="C32" i="39"/>
  <c r="N78" i="40"/>
  <c r="N297" i="40"/>
  <c r="N91" i="40"/>
  <c r="H613" i="40"/>
  <c r="G14" i="40"/>
  <c r="Q121" i="40"/>
  <c r="R121" i="40" s="1"/>
  <c r="Q128" i="40"/>
  <c r="R128" i="40" s="1"/>
  <c r="Q440" i="40"/>
  <c r="R440" i="40" s="1"/>
  <c r="Q392" i="40"/>
  <c r="R392" i="40" s="1"/>
  <c r="N305" i="40"/>
  <c r="N454" i="40"/>
  <c r="Q297" i="40"/>
  <c r="R297" i="40" s="1"/>
  <c r="S144" i="40"/>
  <c r="F144" i="40" s="1"/>
  <c r="S345" i="40"/>
  <c r="N168" i="40"/>
  <c r="N189" i="40"/>
  <c r="N237" i="40"/>
  <c r="R152" i="40"/>
  <c r="Q158" i="40"/>
  <c r="R158" i="40" s="1"/>
  <c r="Q222" i="40"/>
  <c r="R222" i="40" s="1"/>
  <c r="Q228" i="40"/>
  <c r="R228" i="40" s="1"/>
  <c r="Q305" i="40"/>
  <c r="R305" i="40" s="1"/>
  <c r="Q343" i="40"/>
  <c r="R343" i="40" s="1"/>
  <c r="Q362" i="40"/>
  <c r="R362" i="40" s="1"/>
  <c r="Q437" i="40"/>
  <c r="R437" i="40" s="1"/>
  <c r="Q407" i="40"/>
  <c r="R407" i="40" s="1"/>
  <c r="S424" i="40"/>
  <c r="F424" i="40" s="1"/>
  <c r="H424" i="40" s="1"/>
  <c r="T398" i="40"/>
  <c r="S376" i="40"/>
  <c r="F376" i="40" s="1"/>
  <c r="S283" i="40"/>
  <c r="T283" i="40" s="1"/>
  <c r="S264" i="40"/>
  <c r="S189" i="40"/>
  <c r="T189" i="40" s="1"/>
  <c r="S167" i="40"/>
  <c r="S160" i="40"/>
  <c r="S142" i="40"/>
  <c r="F142" i="40" s="1"/>
  <c r="H142" i="40" s="1"/>
  <c r="S125" i="40"/>
  <c r="F125" i="40" s="1"/>
  <c r="H125" i="40" s="1"/>
  <c r="N253" i="40"/>
  <c r="N154" i="40"/>
  <c r="N296" i="40"/>
  <c r="S331" i="40"/>
  <c r="T331" i="40" s="1"/>
  <c r="S298" i="40"/>
  <c r="T298" i="40" s="1"/>
  <c r="S232" i="40"/>
  <c r="S173" i="40"/>
  <c r="T173" i="40" s="1"/>
  <c r="N221" i="40"/>
  <c r="N273" i="40"/>
  <c r="N200" i="40"/>
  <c r="N360" i="40"/>
  <c r="G32" i="40"/>
  <c r="Q59" i="40"/>
  <c r="R59" i="40" s="1"/>
  <c r="Q127" i="40"/>
  <c r="R127" i="40" s="1"/>
  <c r="Q183" i="40"/>
  <c r="R183" i="40" s="1"/>
  <c r="Q188" i="40"/>
  <c r="R188" i="40" s="1"/>
  <c r="Q190" i="40"/>
  <c r="R190" i="40" s="1"/>
  <c r="Q296" i="40"/>
  <c r="R296" i="40" s="1"/>
  <c r="Q377" i="40"/>
  <c r="R377" i="40" s="1"/>
  <c r="Q458" i="40"/>
  <c r="R458" i="40" s="1"/>
  <c r="S442" i="40"/>
  <c r="T382" i="40"/>
  <c r="S373" i="40"/>
  <c r="T373" i="40" s="1"/>
  <c r="S93" i="40"/>
  <c r="T93" i="40" s="1"/>
  <c r="N59" i="40"/>
  <c r="N173" i="40"/>
  <c r="Q91" i="40"/>
  <c r="R91" i="40" s="1"/>
  <c r="Q221" i="40"/>
  <c r="R221" i="40" s="1"/>
  <c r="Q312" i="40"/>
  <c r="R312" i="40" s="1"/>
  <c r="Q328" i="40"/>
  <c r="R328" i="40" s="1"/>
  <c r="Q330" i="40"/>
  <c r="R330" i="40" s="1"/>
  <c r="Q344" i="40"/>
  <c r="R344" i="40" s="1"/>
  <c r="Q346" i="40"/>
  <c r="R346" i="40" s="1"/>
  <c r="Q375" i="40"/>
  <c r="R375" i="40" s="1"/>
  <c r="R432" i="40"/>
  <c r="Q427" i="40"/>
  <c r="R427" i="40" s="1"/>
  <c r="Q394" i="40"/>
  <c r="R394" i="40" s="1"/>
  <c r="S314" i="40"/>
  <c r="F314" i="40" s="1"/>
  <c r="H314" i="40" s="1"/>
  <c r="T286" i="40"/>
  <c r="S252" i="40"/>
  <c r="S238" i="40"/>
  <c r="T238" i="40" s="1"/>
  <c r="S205" i="40"/>
  <c r="T182" i="40"/>
  <c r="S154" i="40"/>
  <c r="S61" i="40"/>
  <c r="G17" i="40"/>
  <c r="G26" i="40"/>
  <c r="G37" i="40"/>
  <c r="Q62" i="40"/>
  <c r="R62" i="40" s="1"/>
  <c r="Q64" i="40"/>
  <c r="R64" i="40" s="1"/>
  <c r="Q81" i="40"/>
  <c r="R81" i="40" s="1"/>
  <c r="Q94" i="40"/>
  <c r="R94" i="40" s="1"/>
  <c r="Q96" i="40"/>
  <c r="R96" i="40" s="1"/>
  <c r="Q113" i="40"/>
  <c r="R113" i="40" s="1"/>
  <c r="Q123" i="40"/>
  <c r="R123" i="40" s="1"/>
  <c r="Q139" i="40"/>
  <c r="R139" i="40" s="1"/>
  <c r="Q155" i="40"/>
  <c r="R155" i="40" s="1"/>
  <c r="Q168" i="40"/>
  <c r="R168" i="40" s="1"/>
  <c r="Q206" i="40"/>
  <c r="R206" i="40" s="1"/>
  <c r="Q208" i="40"/>
  <c r="R208" i="40" s="1"/>
  <c r="Q231" i="40"/>
  <c r="R231" i="40" s="1"/>
  <c r="Q247" i="40"/>
  <c r="R247" i="40" s="1"/>
  <c r="Q260" i="40"/>
  <c r="R260" i="40" s="1"/>
  <c r="Q266" i="40"/>
  <c r="R266" i="40" s="1"/>
  <c r="Q301" i="40"/>
  <c r="R301" i="40" s="1"/>
  <c r="Q341" i="40"/>
  <c r="R341" i="40" s="1"/>
  <c r="Q439" i="40"/>
  <c r="R439" i="40" s="1"/>
  <c r="Q408" i="40"/>
  <c r="R408" i="40" s="1"/>
  <c r="Q395" i="40"/>
  <c r="R395" i="40" s="1"/>
  <c r="S441" i="40"/>
  <c r="T432" i="40"/>
  <c r="S410" i="40"/>
  <c r="F410" i="40" s="1"/>
  <c r="H410" i="40" s="1"/>
  <c r="S405" i="40"/>
  <c r="F405" i="40" s="1"/>
  <c r="H405" i="40" s="1"/>
  <c r="T366" i="40"/>
  <c r="T350" i="40"/>
  <c r="T304" i="40"/>
  <c r="S280" i="40"/>
  <c r="F280" i="40" s="1"/>
  <c r="H280" i="40" s="1"/>
  <c r="S253" i="40"/>
  <c r="S237" i="40"/>
  <c r="F237" i="40" s="1"/>
  <c r="H237" i="40" s="1"/>
  <c r="T152" i="40"/>
  <c r="S145" i="40"/>
  <c r="F145" i="40" s="1"/>
  <c r="H145" i="40" s="1"/>
  <c r="T115" i="40"/>
  <c r="S110" i="40"/>
  <c r="F110" i="40" s="1"/>
  <c r="S91" i="40"/>
  <c r="F91" i="40" s="1"/>
  <c r="H91" i="40" s="1"/>
  <c r="T83" i="40"/>
  <c r="S78" i="40"/>
  <c r="T78" i="40" s="1"/>
  <c r="T51" i="40"/>
  <c r="N155" i="40"/>
  <c r="N62" i="40"/>
  <c r="N441" i="40"/>
  <c r="N424" i="40"/>
  <c r="N312" i="40"/>
  <c r="N376" i="40"/>
  <c r="N440" i="40"/>
  <c r="N93" i="40"/>
  <c r="N215" i="40"/>
  <c r="N208" i="40"/>
  <c r="N260" i="40"/>
  <c r="N113" i="40"/>
  <c r="N198" i="40"/>
  <c r="N214" i="40"/>
  <c r="N230" i="40"/>
  <c r="N252" i="40"/>
  <c r="N175" i="40"/>
  <c r="N143" i="40"/>
  <c r="N127" i="40"/>
  <c r="N111" i="40"/>
  <c r="N95" i="40"/>
  <c r="N79" i="40"/>
  <c r="N63" i="40"/>
  <c r="N458" i="40"/>
  <c r="N442" i="40"/>
  <c r="N426" i="40"/>
  <c r="N410" i="40"/>
  <c r="N394" i="40"/>
  <c r="N378" i="40"/>
  <c r="N362" i="40"/>
  <c r="N346" i="40"/>
  <c r="N330" i="40"/>
  <c r="N314" i="40"/>
  <c r="N298" i="40"/>
  <c r="N282" i="40"/>
  <c r="N266" i="40"/>
  <c r="N301" i="40"/>
  <c r="N321" i="40"/>
  <c r="R118" i="40"/>
  <c r="Q126" i="40"/>
  <c r="R126" i="40" s="1"/>
  <c r="Q199" i="40"/>
  <c r="R199" i="40" s="1"/>
  <c r="Q363" i="40"/>
  <c r="R363" i="40" s="1"/>
  <c r="Q456" i="40"/>
  <c r="R456" i="40" s="1"/>
  <c r="R430" i="40"/>
  <c r="T318" i="40"/>
  <c r="T302" i="40"/>
  <c r="T291" i="40"/>
  <c r="T270" i="40"/>
  <c r="S215" i="40"/>
  <c r="T200" i="40"/>
  <c r="T118" i="40"/>
  <c r="S95" i="40"/>
  <c r="F95" i="40" s="1"/>
  <c r="H95" i="40" s="1"/>
  <c r="T70" i="40"/>
  <c r="S63" i="40"/>
  <c r="F63" i="40" s="1"/>
  <c r="H63" i="40" s="1"/>
  <c r="N264" i="40"/>
  <c r="N392" i="40"/>
  <c r="N144" i="40"/>
  <c r="N112" i="40"/>
  <c r="N96" i="40"/>
  <c r="N80" i="40"/>
  <c r="N64" i="40"/>
  <c r="N427" i="40"/>
  <c r="N395" i="40"/>
  <c r="N315" i="40"/>
  <c r="N283" i="40"/>
  <c r="N139" i="40"/>
  <c r="N174" i="40"/>
  <c r="N158" i="40"/>
  <c r="N142" i="40"/>
  <c r="N126" i="40"/>
  <c r="N110" i="40"/>
  <c r="N94" i="40"/>
  <c r="N409" i="40"/>
  <c r="N377" i="40"/>
  <c r="G23" i="40"/>
  <c r="T446" i="40"/>
  <c r="S360" i="40"/>
  <c r="T360" i="40" s="1"/>
  <c r="T334" i="40"/>
  <c r="S277" i="40"/>
  <c r="F277" i="40" s="1"/>
  <c r="H277" i="40" s="1"/>
  <c r="T240" i="40"/>
  <c r="T149" i="40"/>
  <c r="T102" i="40"/>
  <c r="T86" i="40"/>
  <c r="T54" i="40"/>
  <c r="N328" i="40"/>
  <c r="N456" i="40"/>
  <c r="N199" i="40"/>
  <c r="N231" i="40"/>
  <c r="N160" i="40"/>
  <c r="N128" i="40"/>
  <c r="N363" i="40"/>
  <c r="N331" i="40"/>
  <c r="N299" i="40"/>
  <c r="N267" i="40"/>
  <c r="N123" i="40"/>
  <c r="N345" i="40"/>
  <c r="G35" i="40"/>
  <c r="Q78" i="40"/>
  <c r="R78" i="40" s="1"/>
  <c r="Q80" i="40"/>
  <c r="R80" i="40" s="1"/>
  <c r="Q112" i="40"/>
  <c r="R112" i="40" s="1"/>
  <c r="R134" i="40"/>
  <c r="Q143" i="40"/>
  <c r="R143" i="40" s="1"/>
  <c r="Q174" i="40"/>
  <c r="R174" i="40" s="1"/>
  <c r="Q237" i="40"/>
  <c r="R237" i="40" s="1"/>
  <c r="Q282" i="40"/>
  <c r="R282" i="40" s="1"/>
  <c r="R307" i="40"/>
  <c r="Q315" i="40"/>
  <c r="R315" i="40" s="1"/>
  <c r="R398" i="40"/>
  <c r="T430" i="40"/>
  <c r="T414" i="40"/>
  <c r="T368" i="40"/>
  <c r="T307" i="40"/>
  <c r="S297" i="40"/>
  <c r="F297" i="40" s="1"/>
  <c r="H297" i="40" s="1"/>
  <c r="T275" i="40"/>
  <c r="S168" i="40"/>
  <c r="T85" i="40"/>
  <c r="N280" i="40"/>
  <c r="N344" i="40"/>
  <c r="N408" i="40"/>
  <c r="N61" i="40"/>
  <c r="N125" i="40"/>
  <c r="N183" i="40"/>
  <c r="N81" i="40"/>
  <c r="N145" i="40"/>
  <c r="N190" i="40"/>
  <c r="N206" i="40"/>
  <c r="N222" i="40"/>
  <c r="N238" i="40"/>
  <c r="N247" i="40"/>
  <c r="N228" i="40"/>
  <c r="N416" i="40"/>
  <c r="N188" i="40"/>
  <c r="N232" i="40"/>
  <c r="N439" i="40"/>
  <c r="N407" i="40"/>
  <c r="N375" i="40"/>
  <c r="N343" i="40"/>
  <c r="N167" i="40"/>
  <c r="N437" i="40"/>
  <c r="N405" i="40"/>
  <c r="N373" i="40"/>
  <c r="N341" i="40"/>
  <c r="Q251" i="40"/>
  <c r="R251" i="40" s="1"/>
  <c r="Q324" i="40"/>
  <c r="R324" i="40" s="1"/>
  <c r="Q349" i="40"/>
  <c r="R349" i="40" s="1"/>
  <c r="Q351" i="40"/>
  <c r="R351" i="40" s="1"/>
  <c r="Q356" i="40"/>
  <c r="R356" i="40" s="1"/>
  <c r="Q381" i="40"/>
  <c r="R381" i="40" s="1"/>
  <c r="Q383" i="40"/>
  <c r="R383" i="40" s="1"/>
  <c r="Q151" i="40"/>
  <c r="R151" i="40" s="1"/>
  <c r="Q177" i="40"/>
  <c r="R177" i="40" s="1"/>
  <c r="Q295" i="40"/>
  <c r="R295" i="40" s="1"/>
  <c r="Q317" i="40"/>
  <c r="R317" i="40" s="1"/>
  <c r="S308" i="40"/>
  <c r="T308" i="40" s="1"/>
  <c r="S204" i="40"/>
  <c r="F204" i="40" s="1"/>
  <c r="H204" i="40" s="1"/>
  <c r="S69" i="40"/>
  <c r="F69" i="40" s="1"/>
  <c r="H69" i="40" s="1"/>
  <c r="G30" i="40"/>
  <c r="G34" i="40"/>
  <c r="G38" i="40"/>
  <c r="S92" i="40"/>
  <c r="F92" i="40" s="1"/>
  <c r="H92" i="40" s="1"/>
  <c r="Q89" i="40"/>
  <c r="R89" i="40" s="1"/>
  <c r="Q184" i="40"/>
  <c r="R184" i="40" s="1"/>
  <c r="S406" i="40"/>
  <c r="T406" i="40" s="1"/>
  <c r="N353" i="40"/>
  <c r="N449" i="40"/>
  <c r="N242" i="40"/>
  <c r="N339" i="40"/>
  <c r="N371" i="40"/>
  <c r="N251" i="40"/>
  <c r="N436" i="40"/>
  <c r="N390" i="40"/>
  <c r="N374" i="40"/>
  <c r="N358" i="40"/>
  <c r="N278" i="40"/>
  <c r="N262" i="40"/>
  <c r="N194" i="40"/>
  <c r="S194" i="40"/>
  <c r="S226" i="40"/>
  <c r="N226" i="40"/>
  <c r="S403" i="40"/>
  <c r="F403" i="40" s="1"/>
  <c r="H403" i="40" s="1"/>
  <c r="Q403" i="40"/>
  <c r="R403" i="40" s="1"/>
  <c r="N171" i="40"/>
  <c r="S171" i="40"/>
  <c r="S459" i="40"/>
  <c r="T459" i="40" s="1"/>
  <c r="Q459" i="40"/>
  <c r="R459" i="40" s="1"/>
  <c r="S422" i="40"/>
  <c r="F422" i="40" s="1"/>
  <c r="H422" i="40" s="1"/>
  <c r="Q422" i="40"/>
  <c r="R422" i="40" s="1"/>
  <c r="N422" i="40"/>
  <c r="N99" i="40"/>
  <c r="S99" i="40"/>
  <c r="S447" i="40"/>
  <c r="Q447" i="40"/>
  <c r="R447" i="40" s="1"/>
  <c r="S244" i="40"/>
  <c r="N244" i="40"/>
  <c r="Q156" i="40"/>
  <c r="R156" i="40" s="1"/>
  <c r="Q180" i="40"/>
  <c r="R180" i="40" s="1"/>
  <c r="Q219" i="40"/>
  <c r="R219" i="40" s="1"/>
  <c r="Q225" i="40"/>
  <c r="R225" i="40" s="1"/>
  <c r="Q262" i="40"/>
  <c r="Q278" i="40"/>
  <c r="R278" i="40" s="1"/>
  <c r="Q311" i="40"/>
  <c r="R311" i="40" s="1"/>
  <c r="Q313" i="40"/>
  <c r="R313" i="40" s="1"/>
  <c r="Q339" i="40"/>
  <c r="R339" i="40" s="1"/>
  <c r="Q371" i="40"/>
  <c r="R371" i="40" s="1"/>
  <c r="Q445" i="40"/>
  <c r="R445" i="40" s="1"/>
  <c r="Q435" i="40"/>
  <c r="R435" i="40" s="1"/>
  <c r="Q388" i="40"/>
  <c r="R388" i="40" s="1"/>
  <c r="S436" i="40"/>
  <c r="T436" i="40" s="1"/>
  <c r="S415" i="40"/>
  <c r="F415" i="40" s="1"/>
  <c r="H415" i="40" s="1"/>
  <c r="S353" i="40"/>
  <c r="T353" i="40" s="1"/>
  <c r="S278" i="40"/>
  <c r="F278" i="40" s="1"/>
  <c r="H278" i="40" s="1"/>
  <c r="S242" i="40"/>
  <c r="S124" i="40"/>
  <c r="S101" i="40"/>
  <c r="F101" i="40" s="1"/>
  <c r="H101" i="40" s="1"/>
  <c r="N435" i="40"/>
  <c r="N417" i="40"/>
  <c r="S417" i="40"/>
  <c r="F417" i="40" s="1"/>
  <c r="H417" i="40" s="1"/>
  <c r="N163" i="40"/>
  <c r="S163" i="40"/>
  <c r="F163" i="40" s="1"/>
  <c r="H163" i="40" s="1"/>
  <c r="S454" i="40"/>
  <c r="F454" i="40" s="1"/>
  <c r="H454" i="40" s="1"/>
  <c r="Q454" i="40"/>
  <c r="R454" i="40" s="1"/>
  <c r="S310" i="40"/>
  <c r="F310" i="40" s="1"/>
  <c r="H310" i="40" s="1"/>
  <c r="N310" i="40"/>
  <c r="N67" i="40"/>
  <c r="S67" i="40"/>
  <c r="G16" i="40"/>
  <c r="G36" i="40"/>
  <c r="Q58" i="40"/>
  <c r="R58" i="40" s="1"/>
  <c r="Q60" i="40"/>
  <c r="R60" i="40" s="1"/>
  <c r="Q76" i="40"/>
  <c r="R76" i="40" s="1"/>
  <c r="Q90" i="40"/>
  <c r="R90" i="40" s="1"/>
  <c r="Q108" i="40"/>
  <c r="R108" i="40" s="1"/>
  <c r="Q122" i="40"/>
  <c r="R122" i="40" s="1"/>
  <c r="Q163" i="40"/>
  <c r="R163" i="40" s="1"/>
  <c r="Q178" i="40"/>
  <c r="R178" i="40" s="1"/>
  <c r="Q187" i="40"/>
  <c r="R187" i="40" s="1"/>
  <c r="Q193" i="40"/>
  <c r="R193" i="40" s="1"/>
  <c r="Q235" i="40"/>
  <c r="R235" i="40" s="1"/>
  <c r="Q241" i="40"/>
  <c r="R241" i="40" s="1"/>
  <c r="Q246" i="40"/>
  <c r="R246" i="40" s="1"/>
  <c r="Q248" i="40"/>
  <c r="R248" i="40" s="1"/>
  <c r="Q292" i="40"/>
  <c r="R292" i="40" s="1"/>
  <c r="Q294" i="40"/>
  <c r="R294" i="40" s="1"/>
  <c r="Q449" i="40"/>
  <c r="R449" i="40" s="1"/>
  <c r="Q404" i="40"/>
  <c r="R404" i="40" s="1"/>
  <c r="S390" i="40"/>
  <c r="F390" i="40" s="1"/>
  <c r="H390" i="40" s="1"/>
  <c r="S371" i="40"/>
  <c r="F371" i="40" s="1"/>
  <c r="H371" i="40" s="1"/>
  <c r="S224" i="40"/>
  <c r="S133" i="40"/>
  <c r="T133" i="40" s="1"/>
  <c r="N294" i="40"/>
  <c r="N385" i="40"/>
  <c r="S385" i="40"/>
  <c r="F385" i="40" s="1"/>
  <c r="H385" i="40" s="1"/>
  <c r="Q385" i="40"/>
  <c r="R385" i="40" s="1"/>
  <c r="N161" i="40"/>
  <c r="S161" i="40"/>
  <c r="F161" i="40" s="1"/>
  <c r="H161" i="40" s="1"/>
  <c r="N210" i="40"/>
  <c r="S210" i="40"/>
  <c r="F210" i="40" s="1"/>
  <c r="H210" i="40" s="1"/>
  <c r="S57" i="40"/>
  <c r="T57" i="40" s="1"/>
  <c r="N57" i="40"/>
  <c r="Q452" i="40"/>
  <c r="R452" i="40" s="1"/>
  <c r="N452" i="40"/>
  <c r="S276" i="40"/>
  <c r="T276" i="40" s="1"/>
  <c r="N276" i="40"/>
  <c r="S438" i="40"/>
  <c r="T438" i="40" s="1"/>
  <c r="Q438" i="40"/>
  <c r="R438" i="40" s="1"/>
  <c r="N131" i="40"/>
  <c r="S131" i="40"/>
  <c r="Q67" i="40"/>
  <c r="R67" i="40" s="1"/>
  <c r="Q71" i="40"/>
  <c r="R71" i="40" s="1"/>
  <c r="Q74" i="40"/>
  <c r="R74" i="40" s="1"/>
  <c r="Q99" i="40"/>
  <c r="R99" i="40" s="1"/>
  <c r="Q103" i="40"/>
  <c r="R103" i="40" s="1"/>
  <c r="Q106" i="40"/>
  <c r="R106" i="40" s="1"/>
  <c r="Q131" i="40"/>
  <c r="R131" i="40" s="1"/>
  <c r="Q135" i="40"/>
  <c r="R135" i="40" s="1"/>
  <c r="Q138" i="40"/>
  <c r="R138" i="40" s="1"/>
  <c r="Q140" i="40"/>
  <c r="R140" i="40" s="1"/>
  <c r="Q159" i="40"/>
  <c r="R159" i="40" s="1"/>
  <c r="Q161" i="40"/>
  <c r="R161" i="40" s="1"/>
  <c r="Q203" i="40"/>
  <c r="R203" i="40" s="1"/>
  <c r="Q209" i="40"/>
  <c r="R209" i="40" s="1"/>
  <c r="Q226" i="40"/>
  <c r="R226" i="40" s="1"/>
  <c r="Q244" i="40"/>
  <c r="R244" i="40" s="1"/>
  <c r="Q263" i="40"/>
  <c r="R263" i="40" s="1"/>
  <c r="Q279" i="40"/>
  <c r="R279" i="40" s="1"/>
  <c r="Q310" i="40"/>
  <c r="R310" i="40" s="1"/>
  <c r="Q321" i="40"/>
  <c r="R321" i="40" s="1"/>
  <c r="Q326" i="40"/>
  <c r="R326" i="40" s="1"/>
  <c r="Q340" i="40"/>
  <c r="R340" i="40" s="1"/>
  <c r="Q342" i="40"/>
  <c r="R342" i="40" s="1"/>
  <c r="Q358" i="40"/>
  <c r="R358" i="40" s="1"/>
  <c r="Q372" i="40"/>
  <c r="R372" i="40" s="1"/>
  <c r="Q374" i="40"/>
  <c r="R374" i="40" s="1"/>
  <c r="Q420" i="40"/>
  <c r="R420" i="40" s="1"/>
  <c r="Q413" i="40"/>
  <c r="R413" i="40" s="1"/>
  <c r="S449" i="40"/>
  <c r="S358" i="40"/>
  <c r="S321" i="40"/>
  <c r="T321" i="40" s="1"/>
  <c r="S262" i="40"/>
  <c r="N403" i="40"/>
  <c r="N340" i="40"/>
  <c r="N235" i="40"/>
  <c r="N372" i="40"/>
  <c r="N121" i="40"/>
  <c r="N356" i="40"/>
  <c r="N224" i="40"/>
  <c r="N459" i="40"/>
  <c r="N438" i="40"/>
  <c r="N406" i="40"/>
  <c r="N342" i="40"/>
  <c r="N326" i="40"/>
  <c r="N313" i="40"/>
  <c r="N152" i="40"/>
  <c r="N136" i="40"/>
  <c r="N88" i="40"/>
  <c r="N56" i="40"/>
  <c r="N77" i="40"/>
  <c r="N184" i="40"/>
  <c r="N388" i="40"/>
  <c r="N420" i="40"/>
  <c r="N69" i="40"/>
  <c r="N133" i="40"/>
  <c r="N187" i="40"/>
  <c r="N203" i="40"/>
  <c r="N404" i="40"/>
  <c r="N156" i="40"/>
  <c r="N140" i="40"/>
  <c r="N124" i="40"/>
  <c r="N108" i="40"/>
  <c r="N92" i="40"/>
  <c r="N76" i="40"/>
  <c r="N60" i="40"/>
  <c r="N311" i="40"/>
  <c r="N295" i="40"/>
  <c r="N279" i="40"/>
  <c r="N263" i="40"/>
  <c r="N151" i="40"/>
  <c r="N135" i="40"/>
  <c r="N103" i="40"/>
  <c r="N71" i="40"/>
  <c r="N138" i="40"/>
  <c r="N122" i="40"/>
  <c r="N106" i="40"/>
  <c r="N90" i="40"/>
  <c r="N74" i="40"/>
  <c r="N58" i="40"/>
  <c r="N309" i="40"/>
  <c r="N293" i="40"/>
  <c r="N277" i="40"/>
  <c r="N401" i="40"/>
  <c r="N433" i="40"/>
  <c r="N355" i="40"/>
  <c r="N192" i="40"/>
  <c r="N316" i="40"/>
  <c r="N261" i="40"/>
  <c r="N49" i="40"/>
  <c r="N196" i="40"/>
  <c r="Q56" i="40"/>
  <c r="R56" i="40" s="1"/>
  <c r="Q66" i="40"/>
  <c r="R66" i="40" s="1"/>
  <c r="Q72" i="40"/>
  <c r="R72" i="40" s="1"/>
  <c r="Q88" i="40"/>
  <c r="R88" i="40" s="1"/>
  <c r="Q98" i="40"/>
  <c r="R98" i="40" s="1"/>
  <c r="Q104" i="40"/>
  <c r="R104" i="40" s="1"/>
  <c r="Q120" i="40"/>
  <c r="R120" i="40" s="1"/>
  <c r="Q130" i="40"/>
  <c r="R130" i="40" s="1"/>
  <c r="Q136" i="40"/>
  <c r="R136" i="40" s="1"/>
  <c r="Q170" i="40"/>
  <c r="R170" i="40" s="1"/>
  <c r="Q202" i="40"/>
  <c r="R202" i="40" s="1"/>
  <c r="Q234" i="40"/>
  <c r="R234" i="40" s="1"/>
  <c r="Q370" i="40"/>
  <c r="R370" i="40" s="1"/>
  <c r="Q380" i="40"/>
  <c r="R380" i="40" s="1"/>
  <c r="T421" i="40"/>
  <c r="Q50" i="40"/>
  <c r="R50" i="40" s="1"/>
  <c r="Q82" i="40"/>
  <c r="R82" i="40" s="1"/>
  <c r="Q114" i="40"/>
  <c r="R114" i="40" s="1"/>
  <c r="Q162" i="40"/>
  <c r="R162" i="40" s="1"/>
  <c r="Q348" i="40"/>
  <c r="R348" i="40" s="1"/>
  <c r="Q354" i="40"/>
  <c r="R354" i="40" s="1"/>
  <c r="T389" i="40"/>
  <c r="S192" i="40"/>
  <c r="N120" i="40"/>
  <c r="N289" i="40"/>
  <c r="G25" i="40"/>
  <c r="R186" i="40"/>
  <c r="R434" i="40"/>
  <c r="T357" i="40"/>
  <c r="N55" i="40"/>
  <c r="S55" i="40"/>
  <c r="Q369" i="40"/>
  <c r="R369" i="40" s="1"/>
  <c r="N369" i="40"/>
  <c r="Q323" i="40"/>
  <c r="R323" i="40" s="1"/>
  <c r="N323" i="40"/>
  <c r="S323" i="40"/>
  <c r="F323" i="40" s="1"/>
  <c r="H323" i="40" s="1"/>
  <c r="Q387" i="40"/>
  <c r="R387" i="40" s="1"/>
  <c r="S387" i="40"/>
  <c r="F387" i="40" s="1"/>
  <c r="H387" i="40" s="1"/>
  <c r="Q319" i="40"/>
  <c r="R319" i="40" s="1"/>
  <c r="S319" i="40"/>
  <c r="F319" i="40" s="1"/>
  <c r="H319" i="40" s="1"/>
  <c r="N453" i="40"/>
  <c r="N75" i="40"/>
  <c r="S75" i="40"/>
  <c r="F75" i="40" s="1"/>
  <c r="H75" i="40" s="1"/>
  <c r="Q359" i="40"/>
  <c r="R359" i="40" s="1"/>
  <c r="S359" i="40"/>
  <c r="F359" i="40" s="1"/>
  <c r="H359" i="40" s="1"/>
  <c r="Q391" i="40"/>
  <c r="R391" i="40" s="1"/>
  <c r="S391" i="40"/>
  <c r="Q316" i="40"/>
  <c r="R316" i="40" s="1"/>
  <c r="Q332" i="40"/>
  <c r="R332" i="40" s="1"/>
  <c r="Q364" i="40"/>
  <c r="R364" i="40" s="1"/>
  <c r="Q450" i="40"/>
  <c r="R450" i="40" s="1"/>
  <c r="Q433" i="40"/>
  <c r="R433" i="40" s="1"/>
  <c r="Q401" i="40"/>
  <c r="R401" i="40" s="1"/>
  <c r="S433" i="40"/>
  <c r="F433" i="40" s="1"/>
  <c r="H433" i="40" s="1"/>
  <c r="S401" i="40"/>
  <c r="F401" i="40" s="1"/>
  <c r="H401" i="40" s="1"/>
  <c r="S369" i="40"/>
  <c r="F369" i="40" s="1"/>
  <c r="H369" i="40" s="1"/>
  <c r="S196" i="40"/>
  <c r="S141" i="40"/>
  <c r="T141" i="40" s="1"/>
  <c r="S137" i="40"/>
  <c r="S105" i="40"/>
  <c r="T105" i="40" s="1"/>
  <c r="S88" i="40"/>
  <c r="S73" i="40"/>
  <c r="T73" i="40" s="1"/>
  <c r="S56" i="40"/>
  <c r="F56" i="40" s="1"/>
  <c r="H56" i="40" s="1"/>
  <c r="N150" i="40"/>
  <c r="N119" i="40"/>
  <c r="N104" i="40"/>
  <c r="N72" i="40"/>
  <c r="N450" i="40"/>
  <c r="N370" i="40"/>
  <c r="N325" i="40"/>
  <c r="Q419" i="40"/>
  <c r="R419" i="40" s="1"/>
  <c r="N419" i="40"/>
  <c r="S419" i="40"/>
  <c r="Q287" i="40"/>
  <c r="R287" i="40" s="1"/>
  <c r="S287" i="40"/>
  <c r="T287" i="40" s="1"/>
  <c r="N322" i="40"/>
  <c r="S322" i="40"/>
  <c r="F322" i="40" s="1"/>
  <c r="H322" i="40" s="1"/>
  <c r="N357" i="40"/>
  <c r="Q357" i="40"/>
  <c r="R357" i="40" s="1"/>
  <c r="Q327" i="40"/>
  <c r="R327" i="40" s="1"/>
  <c r="S327" i="40"/>
  <c r="T327" i="40" s="1"/>
  <c r="N423" i="40"/>
  <c r="Q423" i="40"/>
  <c r="R423" i="40" s="1"/>
  <c r="S423" i="40"/>
  <c r="Q55" i="40"/>
  <c r="R55" i="40" s="1"/>
  <c r="Q75" i="40"/>
  <c r="R75" i="40" s="1"/>
  <c r="Q77" i="40"/>
  <c r="R77" i="40" s="1"/>
  <c r="Q87" i="40"/>
  <c r="R87" i="40" s="1"/>
  <c r="Q107" i="40"/>
  <c r="R107" i="40" s="1"/>
  <c r="Q109" i="40"/>
  <c r="R109" i="40" s="1"/>
  <c r="Q119" i="40"/>
  <c r="R119" i="40" s="1"/>
  <c r="Q153" i="40"/>
  <c r="R153" i="40" s="1"/>
  <c r="Q181" i="40"/>
  <c r="R181" i="40" s="1"/>
  <c r="Q195" i="40"/>
  <c r="R195" i="40" s="1"/>
  <c r="Q211" i="40"/>
  <c r="R211" i="40" s="1"/>
  <c r="Q213" i="40"/>
  <c r="R213" i="40" s="1"/>
  <c r="Q227" i="40"/>
  <c r="R227" i="40" s="1"/>
  <c r="Q245" i="40"/>
  <c r="R245" i="40" s="1"/>
  <c r="Q261" i="40"/>
  <c r="R261" i="40" s="1"/>
  <c r="Q265" i="40"/>
  <c r="R265" i="40" s="1"/>
  <c r="Q269" i="40"/>
  <c r="R269" i="40" s="1"/>
  <c r="Q271" i="40"/>
  <c r="R271" i="40" s="1"/>
  <c r="Q290" i="40"/>
  <c r="R290" i="40" s="1"/>
  <c r="S428" i="40"/>
  <c r="F428" i="40" s="1"/>
  <c r="H428" i="40" s="1"/>
  <c r="S396" i="40"/>
  <c r="T396" i="40" s="1"/>
  <c r="S316" i="40"/>
  <c r="S289" i="40"/>
  <c r="T289" i="40" s="1"/>
  <c r="S136" i="40"/>
  <c r="S77" i="40"/>
  <c r="F77" i="40" s="1"/>
  <c r="H77" i="40" s="1"/>
  <c r="N211" i="40"/>
  <c r="N170" i="40"/>
  <c r="N421" i="40"/>
  <c r="N402" i="40"/>
  <c r="N389" i="40"/>
  <c r="N380" i="40"/>
  <c r="N337" i="40"/>
  <c r="Q337" i="40"/>
  <c r="R337" i="40" s="1"/>
  <c r="N186" i="40"/>
  <c r="S186" i="40"/>
  <c r="Q355" i="40"/>
  <c r="R355" i="40" s="1"/>
  <c r="S355" i="40"/>
  <c r="T355" i="40" s="1"/>
  <c r="Q451" i="40"/>
  <c r="R451" i="40" s="1"/>
  <c r="S451" i="40"/>
  <c r="F451" i="40" s="1"/>
  <c r="H451" i="40" s="1"/>
  <c r="N179" i="40"/>
  <c r="S179" i="40"/>
  <c r="N243" i="40"/>
  <c r="S243" i="40"/>
  <c r="Q303" i="40"/>
  <c r="R303" i="40" s="1"/>
  <c r="S303" i="40"/>
  <c r="F303" i="40" s="1"/>
  <c r="H303" i="40" s="1"/>
  <c r="N418" i="40"/>
  <c r="S418" i="40"/>
  <c r="T418" i="40" s="1"/>
  <c r="S386" i="40"/>
  <c r="T386" i="40" s="1"/>
  <c r="N386" i="40"/>
  <c r="S338" i="40"/>
  <c r="T338" i="40" s="1"/>
  <c r="N338" i="40"/>
  <c r="S306" i="40"/>
  <c r="T306" i="40" s="1"/>
  <c r="N306" i="40"/>
  <c r="Q455" i="40"/>
  <c r="R455" i="40" s="1"/>
  <c r="S455" i="40"/>
  <c r="T455" i="40" s="1"/>
  <c r="Q453" i="40"/>
  <c r="R453" i="40" s="1"/>
  <c r="S444" i="40"/>
  <c r="T444" i="40" s="1"/>
  <c r="S412" i="40"/>
  <c r="T412" i="40" s="1"/>
  <c r="S261" i="40"/>
  <c r="F261" i="40" s="1"/>
  <c r="H261" i="40" s="1"/>
  <c r="N87" i="40"/>
  <c r="N387" i="40"/>
  <c r="N354" i="40"/>
  <c r="N290" i="40"/>
  <c r="N274" i="40"/>
  <c r="G33" i="40"/>
  <c r="R416" i="40"/>
  <c r="R309" i="40"/>
  <c r="N268" i="40"/>
  <c r="N332" i="40"/>
  <c r="N396" i="40"/>
  <c r="N73" i="40"/>
  <c r="N165" i="40"/>
  <c r="N195" i="40"/>
  <c r="N105" i="40"/>
  <c r="N319" i="40"/>
  <c r="N303" i="40"/>
  <c r="N287" i="40"/>
  <c r="N271" i="40"/>
  <c r="N269" i="40"/>
  <c r="N109" i="40"/>
  <c r="N197" i="40"/>
  <c r="N213" i="40"/>
  <c r="N229" i="40"/>
  <c r="N245" i="40"/>
  <c r="N227" i="40"/>
  <c r="N137" i="40"/>
  <c r="N220" i="40"/>
  <c r="N284" i="40"/>
  <c r="N348" i="40"/>
  <c r="N412" i="40"/>
  <c r="N202" i="40"/>
  <c r="N218" i="40"/>
  <c r="N234" i="40"/>
  <c r="N216" i="40"/>
  <c r="N181" i="40"/>
  <c r="N153" i="40"/>
  <c r="N107" i="40"/>
  <c r="N265" i="40"/>
  <c r="T239" i="40"/>
  <c r="N162" i="40"/>
  <c r="N146" i="40"/>
  <c r="N130" i="40"/>
  <c r="N114" i="40"/>
  <c r="N98" i="40"/>
  <c r="N82" i="40"/>
  <c r="N66" i="40"/>
  <c r="N50" i="40"/>
  <c r="T379" i="40"/>
  <c r="T347" i="40"/>
  <c r="T249" i="40"/>
  <c r="T233" i="40"/>
  <c r="T217" i="40"/>
  <c r="T201" i="40"/>
  <c r="R236" i="40"/>
  <c r="R254" i="40"/>
  <c r="T416" i="40"/>
  <c r="T352" i="40"/>
  <c r="T300" i="40"/>
  <c r="T288" i="40"/>
  <c r="T236" i="40"/>
  <c r="T172" i="40"/>
  <c r="T411" i="40"/>
  <c r="R216" i="40"/>
  <c r="R218" i="40"/>
  <c r="R336" i="40"/>
  <c r="T400" i="40"/>
  <c r="T336" i="40"/>
  <c r="T272" i="40"/>
  <c r="R400" i="40"/>
  <c r="T443" i="40"/>
  <c r="T220" i="40"/>
  <c r="R448" i="40"/>
  <c r="T431" i="40"/>
  <c r="T399" i="40"/>
  <c r="T335" i="40"/>
  <c r="T111" i="40"/>
  <c r="T79" i="40"/>
  <c r="R65" i="40"/>
  <c r="R329" i="40"/>
  <c r="R443" i="40"/>
  <c r="T457" i="40"/>
  <c r="T393" i="40"/>
  <c r="T229" i="40"/>
  <c r="T197" i="40"/>
  <c r="T185" i="40"/>
  <c r="T129" i="40"/>
  <c r="T117" i="40"/>
  <c r="T65" i="40"/>
  <c r="T53" i="40"/>
  <c r="L256" i="40"/>
  <c r="L460" i="40"/>
  <c r="R431" i="40"/>
  <c r="R399" i="40"/>
  <c r="T230" i="40"/>
  <c r="T198" i="40"/>
  <c r="T429" i="40"/>
  <c r="T397" i="40"/>
  <c r="T365" i="40"/>
  <c r="T333" i="40"/>
  <c r="T285" i="40"/>
  <c r="T165" i="40"/>
  <c r="T157" i="40"/>
  <c r="R175" i="40"/>
  <c r="R429" i="40"/>
  <c r="R397" i="40"/>
  <c r="T448" i="40"/>
  <c r="T384" i="40"/>
  <c r="T320" i="40"/>
  <c r="T268" i="40"/>
  <c r="T212" i="40"/>
  <c r="T148" i="40"/>
  <c r="T132" i="40"/>
  <c r="T116" i="40"/>
  <c r="T100" i="40"/>
  <c r="T84" i="40"/>
  <c r="T68" i="40"/>
  <c r="T52" i="40"/>
  <c r="J440" i="40"/>
  <c r="J416" i="40"/>
  <c r="K416" i="40" s="1"/>
  <c r="J408" i="40"/>
  <c r="K408" i="40" s="1"/>
  <c r="J400" i="40"/>
  <c r="K400" i="40" s="1"/>
  <c r="J392" i="40"/>
  <c r="K392" i="40" s="1"/>
  <c r="H535" i="40"/>
  <c r="H560" i="40"/>
  <c r="H623" i="40"/>
  <c r="H625" i="40"/>
  <c r="H574" i="40"/>
  <c r="H631" i="40"/>
  <c r="H586" i="40"/>
  <c r="H578" i="40"/>
  <c r="H554" i="40"/>
  <c r="H543" i="40"/>
  <c r="H517" i="40"/>
  <c r="H567" i="40"/>
  <c r="H591" i="40"/>
  <c r="H621" i="40"/>
  <c r="J445" i="40"/>
  <c r="K445" i="40" s="1"/>
  <c r="J437" i="40"/>
  <c r="K437" i="40" s="1"/>
  <c r="J429" i="40"/>
  <c r="K429" i="40" s="1"/>
  <c r="J421" i="40"/>
  <c r="K421" i="40" s="1"/>
  <c r="J413" i="40"/>
  <c r="K413" i="40" s="1"/>
  <c r="J405" i="40"/>
  <c r="K405" i="40" s="1"/>
  <c r="J397" i="40"/>
  <c r="K397" i="40" s="1"/>
  <c r="J389" i="40"/>
  <c r="K389" i="40" s="1"/>
  <c r="H592" i="40"/>
  <c r="H568" i="40"/>
  <c r="J443" i="40"/>
  <c r="K443" i="40" s="1"/>
  <c r="J435" i="40"/>
  <c r="K435" i="40" s="1"/>
  <c r="J427" i="40"/>
  <c r="K427" i="40" s="1"/>
  <c r="J419" i="40"/>
  <c r="J411" i="40"/>
  <c r="K411" i="40" s="1"/>
  <c r="J403" i="40"/>
  <c r="K403" i="40" s="1"/>
  <c r="J395" i="40"/>
  <c r="K395" i="40" s="1"/>
  <c r="J387" i="40"/>
  <c r="K387" i="40" s="1"/>
  <c r="H629" i="40"/>
  <c r="H615" i="40"/>
  <c r="H606" i="40"/>
  <c r="H598" i="40"/>
  <c r="H507" i="40"/>
  <c r="H612" i="40"/>
  <c r="H510" i="40"/>
  <c r="H622" i="40"/>
  <c r="H585" i="40"/>
  <c r="H561" i="40"/>
  <c r="H553" i="40"/>
  <c r="H522" i="40"/>
  <c r="H500" i="40"/>
  <c r="H525" i="40"/>
  <c r="J453" i="40"/>
  <c r="K453" i="40" s="1"/>
  <c r="H630" i="40"/>
  <c r="H542" i="40"/>
  <c r="H624" i="40"/>
  <c r="H616" i="40"/>
  <c r="H514" i="40"/>
  <c r="H503" i="40"/>
  <c r="H564" i="40"/>
  <c r="H539" i="40"/>
  <c r="J451" i="40"/>
  <c r="K451" i="40" s="1"/>
  <c r="J442" i="40"/>
  <c r="J434" i="40"/>
  <c r="J418" i="40"/>
  <c r="K418" i="40" s="1"/>
  <c r="J410" i="40"/>
  <c r="K410" i="40" s="1"/>
  <c r="J402" i="40"/>
  <c r="K402" i="40" s="1"/>
  <c r="J394" i="40"/>
  <c r="K394" i="40" s="1"/>
  <c r="J386" i="40"/>
  <c r="K386" i="40" s="1"/>
  <c r="H605" i="40"/>
  <c r="H528" i="40"/>
  <c r="H524" i="40"/>
  <c r="H533" i="40"/>
  <c r="H546" i="40"/>
  <c r="H588" i="40"/>
  <c r="H531" i="40"/>
  <c r="H579" i="40"/>
  <c r="H540" i="40"/>
  <c r="T97" i="40"/>
  <c r="H496" i="40"/>
  <c r="H519" i="40"/>
  <c r="H596" i="40"/>
  <c r="H600" i="40"/>
  <c r="H611" i="40"/>
  <c r="H547" i="40"/>
  <c r="H593" i="40"/>
  <c r="H515" i="40"/>
  <c r="H527" i="40"/>
  <c r="H572" i="40"/>
  <c r="H575" i="40"/>
  <c r="H536" i="40"/>
  <c r="H609" i="40"/>
  <c r="H617" i="40"/>
  <c r="T169" i="40"/>
  <c r="H511" i="40"/>
  <c r="H556" i="40"/>
  <c r="H580" i="40"/>
  <c r="H497" i="40"/>
  <c r="H502" i="40"/>
  <c r="H509" i="40"/>
  <c r="H512" i="40"/>
  <c r="H526" i="40"/>
  <c r="H565" i="40"/>
  <c r="H557" i="40"/>
  <c r="H549" i="40"/>
  <c r="H589" i="40"/>
  <c r="H581" i="40"/>
  <c r="H573" i="40"/>
  <c r="H601" i="40"/>
  <c r="H610" i="40"/>
  <c r="H618" i="40"/>
  <c r="H530" i="40"/>
  <c r="H538" i="40"/>
  <c r="H627" i="40"/>
  <c r="H584" i="40"/>
  <c r="H577" i="40"/>
  <c r="H570" i="40"/>
  <c r="H566" i="40"/>
  <c r="H559" i="40"/>
  <c r="H552" i="40"/>
  <c r="H545" i="40"/>
  <c r="H534" i="40"/>
  <c r="H520" i="40"/>
  <c r="H513" i="40"/>
  <c r="H506" i="40"/>
  <c r="H499" i="40"/>
  <c r="H614" i="40"/>
  <c r="H607" i="40"/>
  <c r="H604" i="40"/>
  <c r="H594" i="40"/>
  <c r="H587" i="40"/>
  <c r="H555" i="40"/>
  <c r="H548" i="40"/>
  <c r="H541" i="40"/>
  <c r="H523" i="40"/>
  <c r="H516" i="40"/>
  <c r="H495" i="40"/>
  <c r="H619" i="40"/>
  <c r="H597" i="40"/>
  <c r="H590" i="40"/>
  <c r="H583" i="40"/>
  <c r="H576" i="40"/>
  <c r="H569" i="40"/>
  <c r="H562" i="40"/>
  <c r="H558" i="40"/>
  <c r="H551" i="40"/>
  <c r="H544" i="40"/>
  <c r="H537" i="40"/>
  <c r="H505" i="40"/>
  <c r="H493" i="40"/>
  <c r="H628" i="40"/>
  <c r="H603" i="40"/>
  <c r="H508" i="40"/>
  <c r="H498" i="40"/>
  <c r="H494" i="40"/>
  <c r="J458" i="40"/>
  <c r="J450" i="40"/>
  <c r="H582" i="40"/>
  <c r="H550" i="40"/>
  <c r="H529" i="40"/>
  <c r="H501" i="40"/>
  <c r="J457" i="40"/>
  <c r="K457" i="40" s="1"/>
  <c r="J449" i="40"/>
  <c r="K449" i="40" s="1"/>
  <c r="J441" i="40"/>
  <c r="K441" i="40" s="1"/>
  <c r="J433" i="40"/>
  <c r="K433" i="40" s="1"/>
  <c r="J425" i="40"/>
  <c r="K425" i="40" s="1"/>
  <c r="J409" i="40"/>
  <c r="K409" i="40" s="1"/>
  <c r="J401" i="40"/>
  <c r="K401" i="40" s="1"/>
  <c r="J393" i="40"/>
  <c r="K393" i="40" s="1"/>
  <c r="H626" i="40"/>
  <c r="J431" i="40"/>
  <c r="K431" i="40" s="1"/>
  <c r="H436" i="39"/>
  <c r="I436" i="39" s="1"/>
  <c r="I448" i="40"/>
  <c r="J448" i="40" s="1"/>
  <c r="P436" i="39"/>
  <c r="Q436" i="39" s="1"/>
  <c r="J459" i="40"/>
  <c r="K459" i="40" s="1"/>
  <c r="I36" i="40"/>
  <c r="J36" i="40" s="1"/>
  <c r="H31" i="39"/>
  <c r="I31" i="39" s="1"/>
  <c r="H33" i="39"/>
  <c r="I33" i="39" s="1"/>
  <c r="F103" i="41"/>
  <c r="F100" i="41"/>
  <c r="F99" i="41"/>
  <c r="F104" i="41"/>
  <c r="E82" i="41"/>
  <c r="F82" i="41" s="1"/>
  <c r="C34" i="41"/>
  <c r="D65" i="41"/>
  <c r="F65" i="41" s="1"/>
  <c r="E87" i="41"/>
  <c r="F87" i="41" s="1"/>
  <c r="F57" i="41"/>
  <c r="F62" i="41"/>
  <c r="D88" i="41"/>
  <c r="F88" i="41" s="1"/>
  <c r="E68" i="41"/>
  <c r="C94" i="41"/>
  <c r="D94" i="41" s="1"/>
  <c r="F59" i="41"/>
  <c r="D64" i="41"/>
  <c r="F64" i="41" s="1"/>
  <c r="H16" i="39"/>
  <c r="I16" i="39" s="1"/>
  <c r="I20" i="40"/>
  <c r="J20" i="40" s="1"/>
  <c r="C20" i="39"/>
  <c r="H12" i="39"/>
  <c r="I12" i="39" s="1"/>
  <c r="I16" i="40"/>
  <c r="J16" i="40" s="1"/>
  <c r="I17" i="40"/>
  <c r="J17" i="40" s="1"/>
  <c r="H13" i="39"/>
  <c r="I13" i="39" s="1"/>
  <c r="I15" i="40"/>
  <c r="J15" i="40" s="1"/>
  <c r="F56" i="41"/>
  <c r="E66" i="41"/>
  <c r="F66" i="41" s="1"/>
  <c r="E81" i="41"/>
  <c r="F81" i="41" s="1"/>
  <c r="C92" i="41"/>
  <c r="C14" i="39"/>
  <c r="C93" i="41"/>
  <c r="C15" i="39"/>
  <c r="F63" i="41"/>
  <c r="C95" i="41"/>
  <c r="E69" i="41"/>
  <c r="F69" i="41" s="1"/>
  <c r="C21" i="39"/>
  <c r="E91" i="41"/>
  <c r="F91" i="41" s="1"/>
  <c r="E90" i="41"/>
  <c r="F90" i="41" s="1"/>
  <c r="E89" i="41"/>
  <c r="F89" i="41" s="1"/>
  <c r="E86" i="41"/>
  <c r="F86" i="41" s="1"/>
  <c r="E85" i="41"/>
  <c r="F85" i="41" s="1"/>
  <c r="F84" i="41"/>
  <c r="E83" i="41"/>
  <c r="F83" i="41" s="1"/>
  <c r="E80" i="41"/>
  <c r="F80" i="41" s="1"/>
  <c r="E75" i="41"/>
  <c r="F75" i="41" s="1"/>
  <c r="E74" i="41"/>
  <c r="F74" i="41" s="1"/>
  <c r="F73" i="41"/>
  <c r="E71" i="41"/>
  <c r="F71" i="41" s="1"/>
  <c r="E70" i="41"/>
  <c r="F70" i="41" s="1"/>
  <c r="D68" i="41"/>
  <c r="E67" i="41"/>
  <c r="F67" i="41" s="1"/>
  <c r="D12" i="41"/>
  <c r="F12" i="41" s="1"/>
  <c r="D16" i="41"/>
  <c r="F16" i="41" s="1"/>
  <c r="J29" i="41"/>
  <c r="J30" i="41" s="1"/>
  <c r="D39" i="41" s="1"/>
  <c r="D13" i="41"/>
  <c r="F13" i="41" s="1"/>
  <c r="F9" i="41"/>
  <c r="D14" i="41"/>
  <c r="F14" i="41" s="1"/>
  <c r="D17" i="41"/>
  <c r="F17" i="41" s="1"/>
  <c r="D11" i="41"/>
  <c r="F11" i="41" s="1"/>
  <c r="J452" i="40"/>
  <c r="K452" i="40" s="1"/>
  <c r="J444" i="40"/>
  <c r="J428" i="40"/>
  <c r="J420" i="40"/>
  <c r="K420" i="40" s="1"/>
  <c r="J412" i="40"/>
  <c r="K412" i="40" s="1"/>
  <c r="J404" i="40"/>
  <c r="K404" i="40" s="1"/>
  <c r="J396" i="40"/>
  <c r="K396" i="40" s="1"/>
  <c r="J388" i="40"/>
  <c r="K388" i="40" s="1"/>
  <c r="J10" i="40"/>
  <c r="B3" i="40"/>
  <c r="J379" i="40"/>
  <c r="K379" i="40" s="1"/>
  <c r="J235" i="40"/>
  <c r="J238" i="40"/>
  <c r="J331" i="40"/>
  <c r="K331" i="40" s="1"/>
  <c r="J339" i="40"/>
  <c r="J135" i="40"/>
  <c r="J143" i="40"/>
  <c r="J204" i="40"/>
  <c r="J207" i="40"/>
  <c r="J233" i="40"/>
  <c r="J322" i="40"/>
  <c r="J189" i="40"/>
  <c r="J53" i="40"/>
  <c r="J56" i="40"/>
  <c r="J63" i="40"/>
  <c r="J226" i="40"/>
  <c r="J234" i="40"/>
  <c r="J272" i="40"/>
  <c r="J288" i="40"/>
  <c r="K288" i="40" s="1"/>
  <c r="J291" i="40"/>
  <c r="J166" i="40"/>
  <c r="J177" i="40"/>
  <c r="J79" i="40"/>
  <c r="J89" i="40"/>
  <c r="J164" i="40"/>
  <c r="J250" i="40"/>
  <c r="J337" i="40"/>
  <c r="J345" i="40"/>
  <c r="J353" i="40"/>
  <c r="J361" i="40"/>
  <c r="K361" i="40" s="1"/>
  <c r="J240" i="40"/>
  <c r="J106" i="40"/>
  <c r="E19" i="38"/>
  <c r="F19" i="38" s="1"/>
  <c r="J55" i="40"/>
  <c r="J111" i="40"/>
  <c r="J119" i="40"/>
  <c r="J299" i="40"/>
  <c r="K299" i="40" s="1"/>
  <c r="J310" i="40"/>
  <c r="J35" i="40"/>
  <c r="J51" i="40"/>
  <c r="J237" i="40"/>
  <c r="J306" i="40"/>
  <c r="J286" i="40"/>
  <c r="K286" i="40" s="1"/>
  <c r="J30" i="40"/>
  <c r="J140" i="40"/>
  <c r="J212" i="40"/>
  <c r="J275" i="40"/>
  <c r="K275" i="40" s="1"/>
  <c r="J283" i="40"/>
  <c r="J296" i="40"/>
  <c r="K296" i="40" s="1"/>
  <c r="J332" i="40"/>
  <c r="K332" i="40" s="1"/>
  <c r="J340" i="40"/>
  <c r="K340" i="40" s="1"/>
  <c r="J356" i="40"/>
  <c r="K356" i="40" s="1"/>
  <c r="J71" i="40"/>
  <c r="J248" i="40"/>
  <c r="J52" i="40"/>
  <c r="R54" i="40"/>
  <c r="R85" i="40"/>
  <c r="J112" i="40"/>
  <c r="J146" i="40"/>
  <c r="J159" i="40"/>
  <c r="J197" i="40"/>
  <c r="J281" i="40"/>
  <c r="K281" i="40" s="1"/>
  <c r="J302" i="40"/>
  <c r="K302" i="40" s="1"/>
  <c r="J98" i="40"/>
  <c r="J103" i="40"/>
  <c r="J133" i="40"/>
  <c r="J149" i="40"/>
  <c r="J187" i="40"/>
  <c r="J192" i="40"/>
  <c r="J213" i="40"/>
  <c r="J263" i="40"/>
  <c r="K263" i="40" s="1"/>
  <c r="J271" i="40"/>
  <c r="K271" i="40" s="1"/>
  <c r="R273" i="40"/>
  <c r="J284" i="40"/>
  <c r="K284" i="40" s="1"/>
  <c r="J297" i="40"/>
  <c r="K297" i="40" s="1"/>
  <c r="J333" i="40"/>
  <c r="J110" i="40"/>
  <c r="J123" i="40"/>
  <c r="J157" i="40"/>
  <c r="J195" i="40"/>
  <c r="J206" i="40"/>
  <c r="J249" i="40"/>
  <c r="J300" i="40"/>
  <c r="J214" i="40"/>
  <c r="R84" i="40"/>
  <c r="J309" i="40"/>
  <c r="K309" i="40" s="1"/>
  <c r="J126" i="40"/>
  <c r="J141" i="40"/>
  <c r="J151" i="40"/>
  <c r="J156" i="40"/>
  <c r="J171" i="40"/>
  <c r="J203" i="40"/>
  <c r="J210" i="40"/>
  <c r="J223" i="40"/>
  <c r="J253" i="40"/>
  <c r="J262" i="40"/>
  <c r="J264" i="40"/>
  <c r="J269" i="40"/>
  <c r="K269" i="40" s="1"/>
  <c r="J279" i="40"/>
  <c r="K279" i="40" s="1"/>
  <c r="J289" i="40"/>
  <c r="K289" i="40" s="1"/>
  <c r="J294" i="40"/>
  <c r="K294" i="40" s="1"/>
  <c r="J311" i="40"/>
  <c r="K311" i="40" s="1"/>
  <c r="J313" i="40"/>
  <c r="K313" i="40" s="1"/>
  <c r="J315" i="40"/>
  <c r="K315" i="40" s="1"/>
  <c r="J68" i="40"/>
  <c r="J86" i="40"/>
  <c r="J96" i="40"/>
  <c r="J134" i="40"/>
  <c r="J179" i="40"/>
  <c r="J196" i="40"/>
  <c r="J260" i="40"/>
  <c r="J267" i="40"/>
  <c r="K267" i="40" s="1"/>
  <c r="J287" i="40"/>
  <c r="J292" i="40"/>
  <c r="K292" i="40" s="1"/>
  <c r="J305" i="40"/>
  <c r="K305" i="40" s="1"/>
  <c r="J344" i="40"/>
  <c r="K344" i="40" s="1"/>
  <c r="J352" i="40"/>
  <c r="K352" i="40" s="1"/>
  <c r="J368" i="40"/>
  <c r="K368" i="40" s="1"/>
  <c r="J325" i="40"/>
  <c r="K325" i="40" s="1"/>
  <c r="G10" i="40"/>
  <c r="J61" i="40"/>
  <c r="J142" i="40"/>
  <c r="R149" i="40"/>
  <c r="J154" i="40"/>
  <c r="J172" i="40"/>
  <c r="J191" i="40"/>
  <c r="J270" i="40"/>
  <c r="J280" i="40"/>
  <c r="R129" i="40"/>
  <c r="J132" i="40"/>
  <c r="J175" i="40"/>
  <c r="J199" i="40"/>
  <c r="J326" i="40"/>
  <c r="J50" i="40"/>
  <c r="J59" i="40"/>
  <c r="J62" i="40"/>
  <c r="J80" i="40"/>
  <c r="J85" i="40"/>
  <c r="J87" i="40"/>
  <c r="J90" i="40"/>
  <c r="J125" i="40"/>
  <c r="J252" i="40"/>
  <c r="J273" i="40"/>
  <c r="K273" i="40" s="1"/>
  <c r="J278" i="40"/>
  <c r="J369" i="40"/>
  <c r="K369" i="40" s="1"/>
  <c r="J377" i="40"/>
  <c r="K377" i="40" s="1"/>
  <c r="J385" i="40"/>
  <c r="K385" i="40" s="1"/>
  <c r="J307" i="40"/>
  <c r="K307" i="40" s="1"/>
  <c r="J148" i="40"/>
  <c r="J190" i="40"/>
  <c r="J266" i="40"/>
  <c r="K266" i="40" s="1"/>
  <c r="J14" i="40"/>
  <c r="J69" i="40"/>
  <c r="J101" i="40"/>
  <c r="J109" i="40"/>
  <c r="J115" i="40"/>
  <c r="J118" i="40"/>
  <c r="J130" i="40"/>
  <c r="J137" i="40"/>
  <c r="R176" i="40"/>
  <c r="J183" i="40"/>
  <c r="J202" i="40"/>
  <c r="J209" i="40"/>
  <c r="J220" i="40"/>
  <c r="J242" i="40"/>
  <c r="J268" i="40"/>
  <c r="K268" i="40" s="1"/>
  <c r="R281" i="40"/>
  <c r="J304" i="40"/>
  <c r="J308" i="40"/>
  <c r="J312" i="40"/>
  <c r="J314" i="40"/>
  <c r="J323" i="40"/>
  <c r="K323" i="40" s="1"/>
  <c r="J330" i="40"/>
  <c r="J335" i="40"/>
  <c r="J343" i="40"/>
  <c r="J351" i="40"/>
  <c r="J359" i="40"/>
  <c r="K359" i="40" s="1"/>
  <c r="J367" i="40"/>
  <c r="K367" i="40" s="1"/>
  <c r="J375" i="40"/>
  <c r="K375" i="40" s="1"/>
  <c r="J383" i="40"/>
  <c r="K383" i="40" s="1"/>
  <c r="J117" i="40"/>
  <c r="J152" i="40"/>
  <c r="J162" i="40"/>
  <c r="J295" i="40"/>
  <c r="K295" i="40" s="1"/>
  <c r="R318" i="40"/>
  <c r="J321" i="40"/>
  <c r="K321" i="40" s="1"/>
  <c r="J328" i="40"/>
  <c r="H29" i="38"/>
  <c r="J95" i="40"/>
  <c r="J120" i="40"/>
  <c r="J122" i="40"/>
  <c r="J161" i="40"/>
  <c r="J169" i="40"/>
  <c r="J205" i="40"/>
  <c r="J218" i="40"/>
  <c r="J231" i="40"/>
  <c r="R240" i="40"/>
  <c r="J243" i="40"/>
  <c r="J298" i="40"/>
  <c r="K298" i="40" s="1"/>
  <c r="J65" i="40"/>
  <c r="J74" i="40"/>
  <c r="J77" i="40"/>
  <c r="J93" i="40"/>
  <c r="J116" i="40"/>
  <c r="J127" i="40"/>
  <c r="J129" i="40"/>
  <c r="J144" i="40"/>
  <c r="J167" i="40"/>
  <c r="J180" i="40"/>
  <c r="J182" i="40"/>
  <c r="J186" i="40"/>
  <c r="J229" i="40"/>
  <c r="J236" i="40"/>
  <c r="J324" i="40"/>
  <c r="J360" i="40"/>
  <c r="K360" i="40" s="1"/>
  <c r="E12" i="38"/>
  <c r="F12" i="38" s="1"/>
  <c r="J121" i="40"/>
  <c r="J153" i="40"/>
  <c r="J178" i="40"/>
  <c r="E13" i="38"/>
  <c r="F13" i="38" s="1"/>
  <c r="J76" i="40"/>
  <c r="R83" i="40"/>
  <c r="J100" i="40"/>
  <c r="J108" i="40"/>
  <c r="J114" i="40"/>
  <c r="R116" i="40"/>
  <c r="J219" i="40"/>
  <c r="J265" i="40"/>
  <c r="K265" i="40" s="1"/>
  <c r="J276" i="40"/>
  <c r="J303" i="40"/>
  <c r="K303" i="40" s="1"/>
  <c r="J334" i="40"/>
  <c r="K334" i="40" s="1"/>
  <c r="J342" i="40"/>
  <c r="K342" i="40" s="1"/>
  <c r="J350" i="40"/>
  <c r="K350" i="40" s="1"/>
  <c r="J358" i="40"/>
  <c r="K358" i="40" s="1"/>
  <c r="J366" i="40"/>
  <c r="K366" i="40" s="1"/>
  <c r="J374" i="40"/>
  <c r="K374" i="40" s="1"/>
  <c r="J382" i="40"/>
  <c r="K382" i="40" s="1"/>
  <c r="J54" i="40"/>
  <c r="J66" i="40"/>
  <c r="J185" i="40"/>
  <c r="J215" i="40"/>
  <c r="J222" i="40"/>
  <c r="J244" i="40"/>
  <c r="J246" i="40"/>
  <c r="L254" i="39"/>
  <c r="M254" i="39" s="1"/>
  <c r="L315" i="39"/>
  <c r="M315" i="39" s="1"/>
  <c r="L287" i="39"/>
  <c r="M287" i="39" s="1"/>
  <c r="L291" i="39"/>
  <c r="M291" i="39" s="1"/>
  <c r="L299" i="39"/>
  <c r="M299" i="39" s="1"/>
  <c r="L303" i="39"/>
  <c r="M303" i="39" s="1"/>
  <c r="L326" i="39"/>
  <c r="M326" i="39" s="1"/>
  <c r="L334" i="39"/>
  <c r="M334" i="39" s="1"/>
  <c r="L342" i="39"/>
  <c r="M342" i="39" s="1"/>
  <c r="L257" i="39"/>
  <c r="M257" i="39" s="1"/>
  <c r="L292" i="39"/>
  <c r="M292" i="39" s="1"/>
  <c r="L319" i="39"/>
  <c r="M319" i="39" s="1"/>
  <c r="L323" i="39"/>
  <c r="M323" i="39" s="1"/>
  <c r="L261" i="39"/>
  <c r="M261" i="39" s="1"/>
  <c r="L262" i="39"/>
  <c r="M262" i="39" s="1"/>
  <c r="L274" i="39"/>
  <c r="M274" i="39" s="1"/>
  <c r="L259" i="39"/>
  <c r="M259" i="39" s="1"/>
  <c r="L314" i="39"/>
  <c r="M314" i="39" s="1"/>
  <c r="L288" i="39"/>
  <c r="M288" i="39" s="1"/>
  <c r="L192" i="39"/>
  <c r="M192" i="39" s="1"/>
  <c r="L275" i="39"/>
  <c r="M275" i="39" s="1"/>
  <c r="L339" i="39"/>
  <c r="M339" i="39" s="1"/>
  <c r="L346" i="39"/>
  <c r="M346" i="39" s="1"/>
  <c r="L350" i="39"/>
  <c r="M350" i="39" s="1"/>
  <c r="L249" i="39"/>
  <c r="M249" i="39" s="1"/>
  <c r="L279" i="39"/>
  <c r="M279" i="39" s="1"/>
  <c r="L354" i="39"/>
  <c r="M354" i="39" s="1"/>
  <c r="L369" i="39"/>
  <c r="M369" i="39" s="1"/>
  <c r="L280" i="39"/>
  <c r="M280" i="39" s="1"/>
  <c r="H280" i="39"/>
  <c r="I280" i="39" s="1"/>
  <c r="L355" i="39"/>
  <c r="M355" i="39" s="1"/>
  <c r="L341" i="39"/>
  <c r="M341" i="39" s="1"/>
  <c r="L327" i="39"/>
  <c r="M327" i="39" s="1"/>
  <c r="H327" i="39"/>
  <c r="I327" i="39" s="1"/>
  <c r="L258" i="39"/>
  <c r="M258" i="39" s="1"/>
  <c r="L283" i="39"/>
  <c r="M283" i="39" s="1"/>
  <c r="L294" i="39"/>
  <c r="M294" i="39" s="1"/>
  <c r="L298" i="39"/>
  <c r="M298" i="39" s="1"/>
  <c r="L306" i="39"/>
  <c r="M306" i="39" s="1"/>
  <c r="L316" i="39"/>
  <c r="M316" i="39" s="1"/>
  <c r="L331" i="39"/>
  <c r="M331" i="39" s="1"/>
  <c r="L358" i="39"/>
  <c r="M358" i="39" s="1"/>
  <c r="L373" i="39"/>
  <c r="M373" i="39" s="1"/>
  <c r="L255" i="39"/>
  <c r="M255" i="39" s="1"/>
  <c r="L271" i="39"/>
  <c r="M271" i="39" s="1"/>
  <c r="L335" i="39"/>
  <c r="M335" i="39" s="1"/>
  <c r="L253" i="39"/>
  <c r="M253" i="39" s="1"/>
  <c r="H262" i="39"/>
  <c r="I262" i="39" s="1"/>
  <c r="L265" i="39"/>
  <c r="M265" i="39" s="1"/>
  <c r="L284" i="39"/>
  <c r="M284" i="39" s="1"/>
  <c r="H192" i="39"/>
  <c r="I192" i="39" s="1"/>
  <c r="L250" i="39"/>
  <c r="M250" i="39" s="1"/>
  <c r="L272" i="39"/>
  <c r="M272" i="39" s="1"/>
  <c r="L282" i="39"/>
  <c r="M282" i="39" s="1"/>
  <c r="L296" i="39"/>
  <c r="M296" i="39" s="1"/>
  <c r="L300" i="39"/>
  <c r="M300" i="39" s="1"/>
  <c r="L307" i="39"/>
  <c r="M307" i="39" s="1"/>
  <c r="L311" i="39"/>
  <c r="M311" i="39" s="1"/>
  <c r="L353" i="39"/>
  <c r="M353" i="39" s="1"/>
  <c r="L270" i="39"/>
  <c r="M270" i="39" s="1"/>
  <c r="L276" i="39"/>
  <c r="M276" i="39" s="1"/>
  <c r="L286" i="39"/>
  <c r="M286" i="39" s="1"/>
  <c r="L290" i="39"/>
  <c r="M290" i="39" s="1"/>
  <c r="L365" i="39"/>
  <c r="M365" i="39" s="1"/>
  <c r="L372" i="39"/>
  <c r="M372" i="39" s="1"/>
  <c r="L295" i="39"/>
  <c r="M295" i="39" s="1"/>
  <c r="L318" i="39"/>
  <c r="M318" i="39" s="1"/>
  <c r="H318" i="39"/>
  <c r="I318" i="39" s="1"/>
  <c r="I10" i="39"/>
  <c r="L266" i="39"/>
  <c r="M266" i="39" s="1"/>
  <c r="L364" i="39"/>
  <c r="M364" i="39" s="1"/>
  <c r="L264" i="39"/>
  <c r="M264" i="39" s="1"/>
  <c r="L273" i="39"/>
  <c r="M273" i="39" s="1"/>
  <c r="L285" i="39"/>
  <c r="M285" i="39" s="1"/>
  <c r="L297" i="39"/>
  <c r="M297" i="39" s="1"/>
  <c r="L305" i="39"/>
  <c r="M305" i="39" s="1"/>
  <c r="L313" i="39"/>
  <c r="M313" i="39" s="1"/>
  <c r="L325" i="39"/>
  <c r="M325" i="39" s="1"/>
  <c r="L337" i="39"/>
  <c r="M337" i="39" s="1"/>
  <c r="L251" i="39"/>
  <c r="M251" i="39" s="1"/>
  <c r="L308" i="39"/>
  <c r="M308" i="39" s="1"/>
  <c r="L320" i="39"/>
  <c r="M320" i="39" s="1"/>
  <c r="L332" i="39"/>
  <c r="M332" i="39" s="1"/>
  <c r="L351" i="39"/>
  <c r="M351" i="39" s="1"/>
  <c r="L356" i="39"/>
  <c r="M356" i="39" s="1"/>
  <c r="L195" i="39"/>
  <c r="M195" i="39" s="1"/>
  <c r="L240" i="39"/>
  <c r="M240" i="39" s="1"/>
  <c r="L256" i="39"/>
  <c r="M256" i="39" s="1"/>
  <c r="H288" i="39"/>
  <c r="I288" i="39" s="1"/>
  <c r="H300" i="39"/>
  <c r="I300" i="39" s="1"/>
  <c r="H314" i="39"/>
  <c r="I314" i="39" s="1"/>
  <c r="L330" i="39"/>
  <c r="M330" i="39" s="1"/>
  <c r="L349" i="39"/>
  <c r="M349" i="39" s="1"/>
  <c r="L368" i="39"/>
  <c r="M368" i="39" s="1"/>
  <c r="L281" i="39"/>
  <c r="M281" i="39" s="1"/>
  <c r="L293" i="39"/>
  <c r="M293" i="39" s="1"/>
  <c r="L309" i="39"/>
  <c r="M309" i="39" s="1"/>
  <c r="L321" i="39"/>
  <c r="M321" i="39" s="1"/>
  <c r="L333" i="39"/>
  <c r="M333" i="39" s="1"/>
  <c r="L340" i="39"/>
  <c r="M340" i="39" s="1"/>
  <c r="L352" i="39"/>
  <c r="M352" i="39" s="1"/>
  <c r="L191" i="39"/>
  <c r="M191" i="39" s="1"/>
  <c r="L193" i="39"/>
  <c r="M193" i="39" s="1"/>
  <c r="H250" i="39"/>
  <c r="I250" i="39" s="1"/>
  <c r="L310" i="39"/>
  <c r="M310" i="39" s="1"/>
  <c r="L322" i="39"/>
  <c r="M322" i="39" s="1"/>
  <c r="L328" i="39"/>
  <c r="M328" i="39" s="1"/>
  <c r="L338" i="39"/>
  <c r="M338" i="39" s="1"/>
  <c r="L347" i="39"/>
  <c r="M347" i="39" s="1"/>
  <c r="L359" i="39"/>
  <c r="M359" i="39" s="1"/>
  <c r="L267" i="39"/>
  <c r="M267" i="39" s="1"/>
  <c r="L277" i="39"/>
  <c r="M277" i="39" s="1"/>
  <c r="H296" i="39"/>
  <c r="I296" i="39" s="1"/>
  <c r="L301" i="39"/>
  <c r="M301" i="39" s="1"/>
  <c r="H310" i="39"/>
  <c r="I310" i="39" s="1"/>
  <c r="H322" i="39"/>
  <c r="I322" i="39" s="1"/>
  <c r="L345" i="39"/>
  <c r="M345" i="39" s="1"/>
  <c r="L357" i="39"/>
  <c r="M357" i="39" s="1"/>
  <c r="L263" i="39"/>
  <c r="M263" i="39" s="1"/>
  <c r="L278" i="39"/>
  <c r="M278" i="39" s="1"/>
  <c r="L289" i="39"/>
  <c r="M289" i="39" s="1"/>
  <c r="L302" i="39"/>
  <c r="M302" i="39" s="1"/>
  <c r="L304" i="39"/>
  <c r="M304" i="39" s="1"/>
  <c r="L312" i="39"/>
  <c r="M312" i="39" s="1"/>
  <c r="L317" i="39"/>
  <c r="M317" i="39" s="1"/>
  <c r="L324" i="39"/>
  <c r="M324" i="39" s="1"/>
  <c r="L329" i="39"/>
  <c r="M329" i="39" s="1"/>
  <c r="L336" i="39"/>
  <c r="M336" i="39" s="1"/>
  <c r="L348" i="39"/>
  <c r="M348" i="39" s="1"/>
  <c r="L360" i="39"/>
  <c r="M360" i="39" s="1"/>
  <c r="G20" i="40"/>
  <c r="G31" i="40"/>
  <c r="J67" i="40"/>
  <c r="J72" i="40"/>
  <c r="J82" i="40"/>
  <c r="J92" i="40"/>
  <c r="R102" i="40"/>
  <c r="J104" i="40"/>
  <c r="J107" i="40"/>
  <c r="J188" i="40"/>
  <c r="J261" i="40"/>
  <c r="K261" i="40" s="1"/>
  <c r="J282" i="40"/>
  <c r="K282" i="40" s="1"/>
  <c r="J58" i="40"/>
  <c r="J83" i="40"/>
  <c r="J138" i="40"/>
  <c r="R146" i="40"/>
  <c r="J228" i="40"/>
  <c r="R286" i="40"/>
  <c r="A31" i="38"/>
  <c r="H30" i="38" s="1"/>
  <c r="J49" i="40"/>
  <c r="J70" i="40"/>
  <c r="J274" i="40"/>
  <c r="J293" i="40"/>
  <c r="K293" i="40" s="1"/>
  <c r="R207" i="40"/>
  <c r="R249" i="40"/>
  <c r="G15" i="40"/>
  <c r="G24" i="40"/>
  <c r="J75" i="40"/>
  <c r="J84" i="40"/>
  <c r="R86" i="40"/>
  <c r="J105" i="40"/>
  <c r="R270" i="40"/>
  <c r="J277" i="40"/>
  <c r="K277" i="40" s="1"/>
  <c r="J285" i="40"/>
  <c r="R291" i="40"/>
  <c r="R192" i="40"/>
  <c r="R275" i="40"/>
  <c r="R70" i="40"/>
  <c r="J78" i="40"/>
  <c r="J88" i="40"/>
  <c r="J124" i="40"/>
  <c r="J158" i="40"/>
  <c r="J170" i="40"/>
  <c r="J194" i="40"/>
  <c r="G22" i="40"/>
  <c r="J60" i="40"/>
  <c r="J64" i="40"/>
  <c r="J81" i="40"/>
  <c r="J94" i="40"/>
  <c r="J131" i="40"/>
  <c r="R212" i="40"/>
  <c r="J290" i="40"/>
  <c r="K290" i="40" s="1"/>
  <c r="J301" i="40"/>
  <c r="K301" i="40" s="1"/>
  <c r="R320" i="40"/>
  <c r="J317" i="40"/>
  <c r="K317" i="40" s="1"/>
  <c r="J338" i="40"/>
  <c r="K338" i="40" s="1"/>
  <c r="J346" i="40"/>
  <c r="K346" i="40" s="1"/>
  <c r="J354" i="40"/>
  <c r="K354" i="40" s="1"/>
  <c r="J362" i="40"/>
  <c r="K362" i="40" s="1"/>
  <c r="J370" i="40"/>
  <c r="K370" i="40" s="1"/>
  <c r="J378" i="40"/>
  <c r="K378" i="40" s="1"/>
  <c r="J128" i="40"/>
  <c r="J145" i="40"/>
  <c r="J150" i="40"/>
  <c r="J181" i="40"/>
  <c r="J245" i="40"/>
  <c r="J251" i="40"/>
  <c r="R322" i="40"/>
  <c r="J329" i="40"/>
  <c r="K329" i="40" s="1"/>
  <c r="J336" i="40"/>
  <c r="K336" i="40" s="1"/>
  <c r="J341" i="40"/>
  <c r="J349" i="40"/>
  <c r="J357" i="40"/>
  <c r="K357" i="40" s="1"/>
  <c r="J365" i="40"/>
  <c r="K365" i="40" s="1"/>
  <c r="J373" i="40"/>
  <c r="K373" i="40" s="1"/>
  <c r="J381" i="40"/>
  <c r="K381" i="40" s="1"/>
  <c r="J165" i="40"/>
  <c r="J173" i="40"/>
  <c r="J201" i="40"/>
  <c r="J211" i="40"/>
  <c r="J221" i="40"/>
  <c r="J239" i="40"/>
  <c r="J241" i="40"/>
  <c r="R272" i="40"/>
  <c r="R288" i="40"/>
  <c r="R304" i="40"/>
  <c r="J319" i="40"/>
  <c r="K319" i="40" s="1"/>
  <c r="J327" i="40"/>
  <c r="K327" i="40" s="1"/>
  <c r="J376" i="40"/>
  <c r="K376" i="40" s="1"/>
  <c r="J384" i="40"/>
  <c r="K384" i="40" s="1"/>
  <c r="J193" i="40"/>
  <c r="J198" i="40"/>
  <c r="J230" i="40"/>
  <c r="J247" i="40"/>
  <c r="J347" i="40"/>
  <c r="J355" i="40"/>
  <c r="J363" i="40"/>
  <c r="K363" i="40" s="1"/>
  <c r="J371" i="40"/>
  <c r="K371" i="40" s="1"/>
  <c r="J139" i="40"/>
  <c r="J147" i="40"/>
  <c r="R196" i="40"/>
  <c r="R274" i="40"/>
  <c r="J316" i="40"/>
  <c r="J174" i="40"/>
  <c r="J225" i="40"/>
  <c r="J318" i="40"/>
  <c r="R164" i="40"/>
  <c r="R172" i="40"/>
  <c r="J217" i="40"/>
  <c r="R220" i="40"/>
  <c r="J227" i="40"/>
  <c r="R250" i="40"/>
  <c r="R284" i="40"/>
  <c r="J320" i="40"/>
  <c r="J348" i="40"/>
  <c r="K348" i="40" s="1"/>
  <c r="J364" i="40"/>
  <c r="K364" i="40" s="1"/>
  <c r="J372" i="40"/>
  <c r="K372" i="40" s="1"/>
  <c r="J380" i="40"/>
  <c r="K380" i="40" s="1"/>
  <c r="R51" i="40"/>
  <c r="R53" i="40"/>
  <c r="J32" i="40"/>
  <c r="J99" i="40"/>
  <c r="J38" i="40"/>
  <c r="J57" i="40"/>
  <c r="J73" i="40"/>
  <c r="J102" i="40"/>
  <c r="J113" i="40"/>
  <c r="R132" i="40"/>
  <c r="R255" i="40"/>
  <c r="J33" i="40"/>
  <c r="J91" i="40"/>
  <c r="J97" i="40"/>
  <c r="R115" i="40"/>
  <c r="R97" i="40"/>
  <c r="J155" i="40"/>
  <c r="J160" i="40"/>
  <c r="R169" i="40"/>
  <c r="R150" i="40"/>
  <c r="J168" i="40"/>
  <c r="J184" i="40"/>
  <c r="J163" i="40"/>
  <c r="J136" i="40"/>
  <c r="R198" i="40"/>
  <c r="R214" i="40"/>
  <c r="R147" i="40"/>
  <c r="R148" i="40"/>
  <c r="R166" i="40"/>
  <c r="J176" i="40"/>
  <c r="J200" i="40"/>
  <c r="J208" i="40"/>
  <c r="J216" i="40"/>
  <c r="J224" i="40"/>
  <c r="J232" i="40"/>
  <c r="J254" i="40"/>
  <c r="R185" i="40"/>
  <c r="R201" i="40"/>
  <c r="R217" i="40"/>
  <c r="R233" i="40"/>
  <c r="R352" i="40"/>
  <c r="R368" i="40"/>
  <c r="J255" i="40"/>
  <c r="R350" i="40"/>
  <c r="R366" i="40"/>
  <c r="R361" i="40"/>
  <c r="R367" i="40"/>
  <c r="R384" i="40"/>
  <c r="L194" i="39"/>
  <c r="M194" i="39" s="1"/>
  <c r="L248" i="39"/>
  <c r="M248" i="39" s="1"/>
  <c r="L252" i="39"/>
  <c r="M252" i="39" s="1"/>
  <c r="L366" i="39"/>
  <c r="M366" i="39" s="1"/>
  <c r="H366" i="39"/>
  <c r="I366" i="39" s="1"/>
  <c r="L242" i="39"/>
  <c r="M242" i="39" s="1"/>
  <c r="L370" i="39"/>
  <c r="M370" i="39" s="1"/>
  <c r="H370" i="39"/>
  <c r="I370" i="39" s="1"/>
  <c r="L268" i="39"/>
  <c r="M268" i="39" s="1"/>
  <c r="L260" i="39"/>
  <c r="M260" i="39" s="1"/>
  <c r="L362" i="39"/>
  <c r="M362" i="39" s="1"/>
  <c r="H362" i="39"/>
  <c r="I362" i="39" s="1"/>
  <c r="L363" i="39"/>
  <c r="M363" i="39" s="1"/>
  <c r="L367" i="39"/>
  <c r="M367" i="39" s="1"/>
  <c r="L371" i="39"/>
  <c r="M371" i="39" s="1"/>
  <c r="H365" i="39"/>
  <c r="I365" i="39" s="1"/>
  <c r="H270" i="39"/>
  <c r="I270" i="39" s="1"/>
  <c r="H274" i="39"/>
  <c r="I274" i="39" s="1"/>
  <c r="H278" i="39"/>
  <c r="I278" i="39" s="1"/>
  <c r="H282" i="39"/>
  <c r="I282" i="39" s="1"/>
  <c r="H286" i="39"/>
  <c r="I286" i="39" s="1"/>
  <c r="H290" i="39"/>
  <c r="I290" i="39" s="1"/>
  <c r="H294" i="39"/>
  <c r="I294" i="39" s="1"/>
  <c r="H298" i="39"/>
  <c r="I298" i="39" s="1"/>
  <c r="H302" i="39"/>
  <c r="I302" i="39" s="1"/>
  <c r="H306" i="39"/>
  <c r="I306" i="39" s="1"/>
  <c r="F367" i="40" l="1"/>
  <c r="E559" i="40" s="1"/>
  <c r="G559" i="40" s="1"/>
  <c r="I559" i="40" s="1"/>
  <c r="K479" i="40"/>
  <c r="P240" i="40"/>
  <c r="G52" i="40"/>
  <c r="P239" i="40"/>
  <c r="T354" i="40"/>
  <c r="AA350" i="40" s="1"/>
  <c r="I22" i="40"/>
  <c r="J22" i="40" s="1"/>
  <c r="T147" i="40"/>
  <c r="T184" i="40"/>
  <c r="AA184" i="40" s="1"/>
  <c r="T437" i="40"/>
  <c r="AA433" i="40" s="1"/>
  <c r="T292" i="40"/>
  <c r="AA288" i="40" s="1"/>
  <c r="AA449" i="40"/>
  <c r="T351" i="40"/>
  <c r="AA347" i="40" s="1"/>
  <c r="T408" i="40"/>
  <c r="AA404" i="40" s="1"/>
  <c r="T64" i="40"/>
  <c r="AA64" i="40" s="1"/>
  <c r="T187" i="40"/>
  <c r="AA187" i="40" s="1"/>
  <c r="P54" i="40"/>
  <c r="T297" i="40"/>
  <c r="AA293" i="40" s="1"/>
  <c r="T227" i="40"/>
  <c r="AA227" i="40" s="1"/>
  <c r="T314" i="40"/>
  <c r="T381" i="40"/>
  <c r="AA377" i="40" s="1"/>
  <c r="T213" i="40"/>
  <c r="AA213" i="40" s="1"/>
  <c r="T255" i="40"/>
  <c r="AA255" i="40" s="1"/>
  <c r="T235" i="40"/>
  <c r="AA235" i="40" s="1"/>
  <c r="T142" i="40"/>
  <c r="AA142" i="40" s="1"/>
  <c r="T180" i="40"/>
  <c r="AA180" i="40" s="1"/>
  <c r="T144" i="40"/>
  <c r="T263" i="40"/>
  <c r="T341" i="40"/>
  <c r="AA337" i="40" s="1"/>
  <c r="G147" i="40"/>
  <c r="G440" i="40"/>
  <c r="H440" i="40"/>
  <c r="G157" i="40"/>
  <c r="H157" i="40"/>
  <c r="G83" i="40"/>
  <c r="H83" i="40"/>
  <c r="G170" i="40"/>
  <c r="H170" i="40"/>
  <c r="G231" i="40"/>
  <c r="H231" i="40"/>
  <c r="G156" i="40"/>
  <c r="H156" i="40"/>
  <c r="G304" i="40"/>
  <c r="H304" i="40"/>
  <c r="G330" i="40"/>
  <c r="H330" i="40"/>
  <c r="E498" i="40"/>
  <c r="G498" i="40" s="1"/>
  <c r="H269" i="40"/>
  <c r="G434" i="40"/>
  <c r="H434" i="40"/>
  <c r="G143" i="40"/>
  <c r="H143" i="40"/>
  <c r="G94" i="40"/>
  <c r="H94" i="40"/>
  <c r="G241" i="40"/>
  <c r="H241" i="40"/>
  <c r="E573" i="40"/>
  <c r="G573" i="40" s="1"/>
  <c r="I573" i="40" s="1"/>
  <c r="H381" i="40"/>
  <c r="G263" i="40"/>
  <c r="H263" i="40"/>
  <c r="G62" i="40"/>
  <c r="H62" i="40"/>
  <c r="H367" i="40"/>
  <c r="G333" i="40"/>
  <c r="H333" i="40"/>
  <c r="E574" i="40"/>
  <c r="G574" i="40" s="1"/>
  <c r="I574" i="40" s="1"/>
  <c r="H382" i="40"/>
  <c r="G229" i="40"/>
  <c r="H229" i="40"/>
  <c r="G320" i="40"/>
  <c r="H320" i="40"/>
  <c r="G65" i="40"/>
  <c r="H65" i="40"/>
  <c r="G148" i="40"/>
  <c r="H148" i="40"/>
  <c r="G74" i="40"/>
  <c r="H74" i="40"/>
  <c r="G458" i="40"/>
  <c r="H458" i="40"/>
  <c r="G129" i="40"/>
  <c r="H129" i="40"/>
  <c r="E500" i="40"/>
  <c r="G500" i="40" s="1"/>
  <c r="I500" i="40" s="1"/>
  <c r="H273" i="40"/>
  <c r="G51" i="40"/>
  <c r="H51" i="40"/>
  <c r="G119" i="40"/>
  <c r="H119" i="40"/>
  <c r="G225" i="40"/>
  <c r="H225" i="40"/>
  <c r="E503" i="40"/>
  <c r="G503" i="40" s="1"/>
  <c r="I503" i="40" s="1"/>
  <c r="H279" i="40"/>
  <c r="E576" i="40"/>
  <c r="G576" i="40" s="1"/>
  <c r="I576" i="40" s="1"/>
  <c r="H384" i="40"/>
  <c r="E568" i="40"/>
  <c r="G568" i="40" s="1"/>
  <c r="I568" i="40" s="1"/>
  <c r="H376" i="40"/>
  <c r="G144" i="40"/>
  <c r="H144" i="40"/>
  <c r="G50" i="40"/>
  <c r="H50" i="40"/>
  <c r="G213" i="40"/>
  <c r="H213" i="40"/>
  <c r="G72" i="40"/>
  <c r="H72" i="40"/>
  <c r="E575" i="40"/>
  <c r="G575" i="40" s="1"/>
  <c r="I575" i="40" s="1"/>
  <c r="H383" i="40"/>
  <c r="G76" i="40"/>
  <c r="H76" i="40"/>
  <c r="G90" i="40"/>
  <c r="H90" i="40"/>
  <c r="G135" i="40"/>
  <c r="H135" i="40"/>
  <c r="G139" i="40"/>
  <c r="H139" i="40"/>
  <c r="G285" i="40"/>
  <c r="H285" i="40"/>
  <c r="G270" i="40"/>
  <c r="H270" i="40"/>
  <c r="G165" i="40"/>
  <c r="H165" i="40"/>
  <c r="G240" i="40"/>
  <c r="H240" i="40"/>
  <c r="G64" i="40"/>
  <c r="H64" i="40"/>
  <c r="G123" i="40"/>
  <c r="H123" i="40"/>
  <c r="E558" i="40"/>
  <c r="G558" i="40" s="1"/>
  <c r="H366" i="40"/>
  <c r="E547" i="40"/>
  <c r="G547" i="40" s="1"/>
  <c r="I547" i="40" s="1"/>
  <c r="H354" i="40"/>
  <c r="E495" i="40"/>
  <c r="G495" i="40" s="1"/>
  <c r="H266" i="40"/>
  <c r="E534" i="40"/>
  <c r="G534" i="40" s="1"/>
  <c r="I534" i="40" s="1"/>
  <c r="H329" i="40"/>
  <c r="G110" i="40"/>
  <c r="H110" i="40"/>
  <c r="G188" i="40"/>
  <c r="H188" i="40"/>
  <c r="G456" i="40"/>
  <c r="H456" i="40"/>
  <c r="E562" i="40"/>
  <c r="G562" i="40" s="1"/>
  <c r="I562" i="40" s="1"/>
  <c r="H370" i="40"/>
  <c r="E569" i="40"/>
  <c r="G569" i="40" s="1"/>
  <c r="I569" i="40" s="1"/>
  <c r="H377" i="40"/>
  <c r="E528" i="40"/>
  <c r="G528" i="40" s="1"/>
  <c r="I528" i="40" s="1"/>
  <c r="H317" i="40"/>
  <c r="G326" i="40"/>
  <c r="H326" i="40"/>
  <c r="E520" i="40"/>
  <c r="G520" i="40" s="1"/>
  <c r="I520" i="40" s="1"/>
  <c r="H302" i="40"/>
  <c r="E501" i="40"/>
  <c r="G501" i="40" s="1"/>
  <c r="I501" i="40" s="1"/>
  <c r="H275" i="40"/>
  <c r="G448" i="40"/>
  <c r="H448" i="40"/>
  <c r="E571" i="40"/>
  <c r="G571" i="40" s="1"/>
  <c r="I571" i="40" s="1"/>
  <c r="H379" i="40"/>
  <c r="G200" i="40"/>
  <c r="H200" i="40"/>
  <c r="G102" i="40"/>
  <c r="H102" i="40"/>
  <c r="G127" i="40"/>
  <c r="H127" i="40"/>
  <c r="G328" i="40"/>
  <c r="H328" i="40"/>
  <c r="G318" i="40"/>
  <c r="H318" i="40"/>
  <c r="E508" i="40"/>
  <c r="G508" i="40" s="1"/>
  <c r="I508" i="40" s="1"/>
  <c r="H288" i="40"/>
  <c r="G86" i="40"/>
  <c r="H86" i="40"/>
  <c r="G184" i="40"/>
  <c r="H184" i="40"/>
  <c r="G185" i="40"/>
  <c r="H185" i="40"/>
  <c r="G176" i="40"/>
  <c r="H176" i="40"/>
  <c r="E499" i="40"/>
  <c r="G499" i="40" s="1"/>
  <c r="I499" i="40" s="1"/>
  <c r="H271" i="40"/>
  <c r="G221" i="40"/>
  <c r="H221" i="40"/>
  <c r="G341" i="40"/>
  <c r="H341" i="40"/>
  <c r="E494" i="40"/>
  <c r="G494" i="40" s="1"/>
  <c r="H265" i="40"/>
  <c r="E555" i="40"/>
  <c r="G555" i="40" s="1"/>
  <c r="I555" i="40" s="1"/>
  <c r="H363" i="40"/>
  <c r="G180" i="40"/>
  <c r="H180" i="40"/>
  <c r="G347" i="40"/>
  <c r="H347" i="40"/>
  <c r="G207" i="40"/>
  <c r="H207" i="40"/>
  <c r="G272" i="40"/>
  <c r="H272" i="40"/>
  <c r="G54" i="40"/>
  <c r="H54" i="40"/>
  <c r="G164" i="40"/>
  <c r="H164" i="40"/>
  <c r="G201" i="40"/>
  <c r="H201" i="40"/>
  <c r="G68" i="40"/>
  <c r="H68" i="40"/>
  <c r="P431" i="40"/>
  <c r="T383" i="40"/>
  <c r="T176" i="40"/>
  <c r="AA176" i="40" s="1"/>
  <c r="T273" i="40"/>
  <c r="AA269" i="40" s="1"/>
  <c r="T191" i="40"/>
  <c r="AA191" i="40" s="1"/>
  <c r="T376" i="40"/>
  <c r="AA372" i="40" s="1"/>
  <c r="T50" i="40"/>
  <c r="AA50" i="40" s="1"/>
  <c r="T377" i="40"/>
  <c r="AA373" i="40" s="1"/>
  <c r="T175" i="40"/>
  <c r="AA175" i="40" s="1"/>
  <c r="T427" i="40"/>
  <c r="T156" i="40"/>
  <c r="AA156" i="40" s="1"/>
  <c r="T164" i="40"/>
  <c r="AA164" i="40" s="1"/>
  <c r="T271" i="40"/>
  <c r="AA267" i="40" s="1"/>
  <c r="T135" i="40"/>
  <c r="AA135" i="40" s="1"/>
  <c r="T155" i="40"/>
  <c r="AA155" i="40" s="1"/>
  <c r="F293" i="40"/>
  <c r="P325" i="40"/>
  <c r="P79" i="40"/>
  <c r="H469" i="40"/>
  <c r="P249" i="40"/>
  <c r="F249" i="40"/>
  <c r="F334" i="40"/>
  <c r="H334" i="40" s="1"/>
  <c r="P334" i="40"/>
  <c r="F84" i="40"/>
  <c r="P84" i="40"/>
  <c r="F300" i="40"/>
  <c r="P300" i="40"/>
  <c r="AA296" i="40" s="1"/>
  <c r="F149" i="40"/>
  <c r="P149" i="40"/>
  <c r="AA149" i="40" s="1"/>
  <c r="F197" i="40"/>
  <c r="P197" i="40"/>
  <c r="AA197" i="40" s="1"/>
  <c r="F220" i="40"/>
  <c r="P220" i="40"/>
  <c r="P291" i="40"/>
  <c r="F291" i="40"/>
  <c r="P336" i="40"/>
  <c r="F336" i="40"/>
  <c r="P432" i="40"/>
  <c r="AA428" i="40" s="1"/>
  <c r="F432" i="40"/>
  <c r="F118" i="40"/>
  <c r="P118" i="40"/>
  <c r="AA118" i="40" s="1"/>
  <c r="P97" i="40"/>
  <c r="AA97" i="40" s="1"/>
  <c r="F97" i="40"/>
  <c r="P182" i="40"/>
  <c r="F182" i="40"/>
  <c r="H182" i="40" s="1"/>
  <c r="P335" i="40"/>
  <c r="F335" i="40"/>
  <c r="P281" i="40"/>
  <c r="F281" i="40"/>
  <c r="F446" i="40"/>
  <c r="P446" i="40"/>
  <c r="F223" i="40"/>
  <c r="P389" i="40"/>
  <c r="AA385" i="40" s="1"/>
  <c r="F389" i="40"/>
  <c r="F131" i="40"/>
  <c r="F121" i="40"/>
  <c r="F117" i="40"/>
  <c r="P366" i="40"/>
  <c r="F116" i="40"/>
  <c r="F100" i="40"/>
  <c r="H100" i="40" s="1"/>
  <c r="F233" i="40"/>
  <c r="F441" i="40"/>
  <c r="H441" i="40" s="1"/>
  <c r="F66" i="40"/>
  <c r="F186" i="40"/>
  <c r="F82" i="40"/>
  <c r="F316" i="40"/>
  <c r="F88" i="40"/>
  <c r="F228" i="40"/>
  <c r="F368" i="40"/>
  <c r="G368" i="40" s="1"/>
  <c r="F172" i="40"/>
  <c r="F423" i="40"/>
  <c r="H423" i="40" s="1"/>
  <c r="F447" i="40"/>
  <c r="F137" i="40"/>
  <c r="F307" i="40"/>
  <c r="P65" i="40"/>
  <c r="AA65" i="40" s="1"/>
  <c r="P393" i="40"/>
  <c r="P293" i="40"/>
  <c r="P200" i="40"/>
  <c r="AA200" i="40" s="1"/>
  <c r="F115" i="40"/>
  <c r="F394" i="40"/>
  <c r="E586" i="40" s="1"/>
  <c r="G586" i="40" s="1"/>
  <c r="I586" i="40" s="1"/>
  <c r="F295" i="40"/>
  <c r="F345" i="40"/>
  <c r="H345" i="40" s="1"/>
  <c r="F311" i="40"/>
  <c r="F284" i="40"/>
  <c r="H284" i="40" s="1"/>
  <c r="F217" i="40"/>
  <c r="F61" i="40"/>
  <c r="F178" i="40"/>
  <c r="F391" i="40"/>
  <c r="F99" i="40"/>
  <c r="F442" i="40"/>
  <c r="F348" i="40"/>
  <c r="F130" i="40"/>
  <c r="H130" i="40" s="1"/>
  <c r="F104" i="40"/>
  <c r="F193" i="40"/>
  <c r="F106" i="40"/>
  <c r="H106" i="40" s="1"/>
  <c r="F89" i="40"/>
  <c r="F85" i="40"/>
  <c r="P83" i="40"/>
  <c r="F358" i="40"/>
  <c r="F124" i="40"/>
  <c r="F364" i="40"/>
  <c r="F146" i="40"/>
  <c r="F183" i="40"/>
  <c r="F181" i="40"/>
  <c r="F120" i="40"/>
  <c r="F439" i="40"/>
  <c r="H439" i="40" s="1"/>
  <c r="F312" i="40"/>
  <c r="F222" i="40"/>
  <c r="H222" i="40" s="1"/>
  <c r="F177" i="40"/>
  <c r="F108" i="40"/>
  <c r="F340" i="40"/>
  <c r="F122" i="40"/>
  <c r="F71" i="40"/>
  <c r="F53" i="40"/>
  <c r="P286" i="40"/>
  <c r="AA282" i="40" s="1"/>
  <c r="P272" i="40"/>
  <c r="F134" i="40"/>
  <c r="H134" i="40" s="1"/>
  <c r="F70" i="40"/>
  <c r="F250" i="40"/>
  <c r="F344" i="40"/>
  <c r="F159" i="40"/>
  <c r="H159" i="40" s="1"/>
  <c r="F81" i="40"/>
  <c r="P429" i="40"/>
  <c r="AA425" i="40" s="1"/>
  <c r="F166" i="40"/>
  <c r="F402" i="40"/>
  <c r="F409" i="40"/>
  <c r="F357" i="40"/>
  <c r="F352" i="40"/>
  <c r="F419" i="40"/>
  <c r="F438" i="40"/>
  <c r="F98" i="40"/>
  <c r="F262" i="40"/>
  <c r="H262" i="40" s="1"/>
  <c r="F332" i="40"/>
  <c r="F114" i="40"/>
  <c r="F449" i="40"/>
  <c r="F78" i="40"/>
  <c r="F205" i="40"/>
  <c r="F173" i="40"/>
  <c r="F264" i="40"/>
  <c r="F218" i="40"/>
  <c r="F96" i="40"/>
  <c r="F190" i="40"/>
  <c r="H190" i="40" s="1"/>
  <c r="F349" i="40"/>
  <c r="H349" i="40" s="1"/>
  <c r="F356" i="40"/>
  <c r="P398" i="40"/>
  <c r="AA394" i="40" s="1"/>
  <c r="F443" i="40"/>
  <c r="F168" i="40"/>
  <c r="F232" i="40"/>
  <c r="F202" i="40"/>
  <c r="F407" i="40"/>
  <c r="F128" i="40"/>
  <c r="F140" i="40"/>
  <c r="F212" i="40"/>
  <c r="F132" i="40"/>
  <c r="T312" i="40"/>
  <c r="AA308" i="40" s="1"/>
  <c r="T177" i="40"/>
  <c r="AA177" i="40" s="1"/>
  <c r="T407" i="40"/>
  <c r="AA403" i="40" s="1"/>
  <c r="T72" i="40"/>
  <c r="AA72" i="40" s="1"/>
  <c r="T139" i="40"/>
  <c r="AA139" i="40" s="1"/>
  <c r="T332" i="40"/>
  <c r="AA328" i="40" s="1"/>
  <c r="T301" i="40"/>
  <c r="AA297" i="40" s="1"/>
  <c r="T329" i="40"/>
  <c r="T202" i="40"/>
  <c r="AA202" i="40" s="1"/>
  <c r="T203" i="40"/>
  <c r="AA203" i="40" s="1"/>
  <c r="T458" i="40"/>
  <c r="F102" i="41"/>
  <c r="T108" i="40"/>
  <c r="AA108" i="40" s="1"/>
  <c r="T247" i="40"/>
  <c r="AA247" i="40" s="1"/>
  <c r="T441" i="40"/>
  <c r="AA437" i="40" s="1"/>
  <c r="T127" i="40"/>
  <c r="AA127" i="40" s="1"/>
  <c r="T356" i="40"/>
  <c r="AA352" i="40" s="1"/>
  <c r="T81" i="40"/>
  <c r="AA81" i="40" s="1"/>
  <c r="T206" i="40"/>
  <c r="AA206" i="40" s="1"/>
  <c r="T134" i="40"/>
  <c r="AA134" i="40" s="1"/>
  <c r="F309" i="40"/>
  <c r="J20" i="46"/>
  <c r="K20" i="46" s="1"/>
  <c r="H20" i="46"/>
  <c r="I20" i="46" s="1"/>
  <c r="G20" i="46"/>
  <c r="J190" i="46"/>
  <c r="K190" i="46" s="1"/>
  <c r="H190" i="46"/>
  <c r="I190" i="46" s="1"/>
  <c r="G190" i="46"/>
  <c r="J27" i="46"/>
  <c r="K27" i="46" s="1"/>
  <c r="H27" i="46"/>
  <c r="I27" i="46" s="1"/>
  <c r="G27" i="46"/>
  <c r="J152" i="46"/>
  <c r="H152" i="46"/>
  <c r="I152" i="46" s="1"/>
  <c r="G152" i="46"/>
  <c r="J111" i="46"/>
  <c r="K111" i="46" s="1"/>
  <c r="H111" i="46"/>
  <c r="I111" i="46" s="1"/>
  <c r="G111" i="46"/>
  <c r="J85" i="46"/>
  <c r="K85" i="46" s="1"/>
  <c r="H85" i="46"/>
  <c r="I85" i="46" s="1"/>
  <c r="G85" i="46"/>
  <c r="J314" i="46"/>
  <c r="K314" i="46" s="1"/>
  <c r="H314" i="46"/>
  <c r="I314" i="46" s="1"/>
  <c r="G314" i="46"/>
  <c r="J227" i="46"/>
  <c r="K227" i="46" s="1"/>
  <c r="H227" i="46"/>
  <c r="I227" i="46" s="1"/>
  <c r="G227" i="46"/>
  <c r="J160" i="46"/>
  <c r="K160" i="46" s="1"/>
  <c r="H160" i="46"/>
  <c r="I160" i="46" s="1"/>
  <c r="G160" i="46"/>
  <c r="J17" i="46"/>
  <c r="H17" i="46"/>
  <c r="I17" i="46" s="1"/>
  <c r="G17" i="46"/>
  <c r="J375" i="46"/>
  <c r="K375" i="46" s="1"/>
  <c r="H375" i="46"/>
  <c r="I375" i="46" s="1"/>
  <c r="G375" i="46"/>
  <c r="J312" i="46"/>
  <c r="K312" i="46" s="1"/>
  <c r="H312" i="46"/>
  <c r="I312" i="46" s="1"/>
  <c r="G312" i="46"/>
  <c r="J223" i="46"/>
  <c r="K223" i="46" s="1"/>
  <c r="H223" i="46"/>
  <c r="I223" i="46" s="1"/>
  <c r="G223" i="46"/>
  <c r="J248" i="46"/>
  <c r="K248" i="46" s="1"/>
  <c r="H248" i="46"/>
  <c r="I248" i="46" s="1"/>
  <c r="G248" i="46"/>
  <c r="J279" i="46"/>
  <c r="K279" i="46" s="1"/>
  <c r="H279" i="46"/>
  <c r="I279" i="46" s="1"/>
  <c r="G279" i="46"/>
  <c r="J89" i="46"/>
  <c r="K89" i="46" s="1"/>
  <c r="H89" i="46"/>
  <c r="I89" i="46" s="1"/>
  <c r="G89" i="46"/>
  <c r="J341" i="46"/>
  <c r="K341" i="46" s="1"/>
  <c r="H341" i="46"/>
  <c r="I341" i="46" s="1"/>
  <c r="G341" i="46"/>
  <c r="J373" i="46"/>
  <c r="K373" i="46" s="1"/>
  <c r="H373" i="46"/>
  <c r="I373" i="46" s="1"/>
  <c r="G373" i="46"/>
  <c r="J403" i="46"/>
  <c r="K403" i="46" s="1"/>
  <c r="H403" i="46"/>
  <c r="I403" i="46" s="1"/>
  <c r="G403" i="46"/>
  <c r="J108" i="46"/>
  <c r="K108" i="46" s="1"/>
  <c r="H108" i="46"/>
  <c r="I108" i="46" s="1"/>
  <c r="G108" i="46"/>
  <c r="J36" i="46"/>
  <c r="K36" i="46" s="1"/>
  <c r="H36" i="46"/>
  <c r="I36" i="46" s="1"/>
  <c r="G36" i="46"/>
  <c r="J149" i="46"/>
  <c r="K149" i="46" s="1"/>
  <c r="H149" i="46"/>
  <c r="I149" i="46" s="1"/>
  <c r="G149" i="46"/>
  <c r="J233" i="46"/>
  <c r="K233" i="46" s="1"/>
  <c r="H233" i="46"/>
  <c r="I233" i="46" s="1"/>
  <c r="G233" i="46"/>
  <c r="J264" i="46"/>
  <c r="K264" i="46" s="1"/>
  <c r="H264" i="46"/>
  <c r="I264" i="46" s="1"/>
  <c r="G264" i="46"/>
  <c r="H246" i="46"/>
  <c r="I246" i="46" s="1"/>
  <c r="J246" i="46"/>
  <c r="K246" i="46" s="1"/>
  <c r="G246" i="46"/>
  <c r="H277" i="46"/>
  <c r="I277" i="46" s="1"/>
  <c r="J277" i="46"/>
  <c r="K277" i="46" s="1"/>
  <c r="G277" i="46"/>
  <c r="H308" i="46"/>
  <c r="I308" i="46" s="1"/>
  <c r="J308" i="46"/>
  <c r="K308" i="46" s="1"/>
  <c r="G308" i="46"/>
  <c r="H339" i="46"/>
  <c r="I339" i="46" s="1"/>
  <c r="J339" i="46"/>
  <c r="K339" i="46" s="1"/>
  <c r="G339" i="46"/>
  <c r="J371" i="46"/>
  <c r="K371" i="46" s="1"/>
  <c r="H371" i="46"/>
  <c r="I371" i="46" s="1"/>
  <c r="G371" i="46"/>
  <c r="H401" i="46"/>
  <c r="I401" i="46" s="1"/>
  <c r="J401" i="46"/>
  <c r="K401" i="46" s="1"/>
  <c r="G401" i="46"/>
  <c r="H13" i="46"/>
  <c r="I13" i="46" s="1"/>
  <c r="J13" i="46"/>
  <c r="K13" i="46" s="1"/>
  <c r="G13" i="46"/>
  <c r="H45" i="46"/>
  <c r="I45" i="46" s="1"/>
  <c r="J45" i="46"/>
  <c r="K45" i="46" s="1"/>
  <c r="G45" i="46"/>
  <c r="H148" i="46"/>
  <c r="I148" i="46" s="1"/>
  <c r="J148" i="46"/>
  <c r="K148" i="46" s="1"/>
  <c r="G148" i="46"/>
  <c r="J167" i="46"/>
  <c r="K167" i="46" s="1"/>
  <c r="H167" i="46"/>
  <c r="I167" i="46" s="1"/>
  <c r="G167" i="46"/>
  <c r="J209" i="46"/>
  <c r="K209" i="46" s="1"/>
  <c r="H209" i="46"/>
  <c r="I209" i="46" s="1"/>
  <c r="G209" i="46"/>
  <c r="J69" i="46"/>
  <c r="K69" i="46" s="1"/>
  <c r="H69" i="46"/>
  <c r="G69" i="46"/>
  <c r="J66" i="46"/>
  <c r="K66" i="46" s="1"/>
  <c r="H66" i="46"/>
  <c r="I66" i="46" s="1"/>
  <c r="G66" i="46"/>
  <c r="J145" i="46"/>
  <c r="K145" i="46" s="1"/>
  <c r="H145" i="46"/>
  <c r="I145" i="46" s="1"/>
  <c r="G145" i="46"/>
  <c r="J104" i="46"/>
  <c r="K104" i="46" s="1"/>
  <c r="H104" i="46"/>
  <c r="I104" i="46" s="1"/>
  <c r="G104" i="46"/>
  <c r="J366" i="46"/>
  <c r="K366" i="46" s="1"/>
  <c r="H366" i="46"/>
  <c r="I366" i="46" s="1"/>
  <c r="G366" i="46"/>
  <c r="J303" i="46"/>
  <c r="K303" i="46" s="1"/>
  <c r="H303" i="46"/>
  <c r="I303" i="46" s="1"/>
  <c r="G303" i="46"/>
  <c r="J183" i="46"/>
  <c r="K183" i="46" s="1"/>
  <c r="H183" i="46"/>
  <c r="I183" i="46" s="1"/>
  <c r="G183" i="46"/>
  <c r="J201" i="46"/>
  <c r="K201" i="46" s="1"/>
  <c r="H201" i="46"/>
  <c r="I201" i="46" s="1"/>
  <c r="G201" i="46"/>
  <c r="H181" i="46"/>
  <c r="I181" i="46" s="1"/>
  <c r="J181" i="46"/>
  <c r="K181" i="46" s="1"/>
  <c r="G181" i="46"/>
  <c r="H49" i="46"/>
  <c r="I49" i="46" s="1"/>
  <c r="J49" i="46"/>
  <c r="K49" i="46" s="1"/>
  <c r="G49" i="46"/>
  <c r="J134" i="46"/>
  <c r="K134" i="46" s="1"/>
  <c r="H134" i="46"/>
  <c r="I134" i="46" s="1"/>
  <c r="G134" i="46"/>
  <c r="J409" i="46"/>
  <c r="K409" i="46" s="1"/>
  <c r="H409" i="46"/>
  <c r="I409" i="46" s="1"/>
  <c r="G409" i="46"/>
  <c r="J348" i="46"/>
  <c r="K348" i="46" s="1"/>
  <c r="H348" i="46"/>
  <c r="I348" i="46" s="1"/>
  <c r="G348" i="46"/>
  <c r="J286" i="46"/>
  <c r="K286" i="46" s="1"/>
  <c r="H286" i="46"/>
  <c r="I286" i="46" s="1"/>
  <c r="G286" i="46"/>
  <c r="H26" i="46"/>
  <c r="I26" i="46" s="1"/>
  <c r="J26" i="46"/>
  <c r="K26" i="46" s="1"/>
  <c r="G26" i="46"/>
  <c r="J7" i="46"/>
  <c r="K7" i="46" s="1"/>
  <c r="H7" i="46"/>
  <c r="I7" i="46" s="1"/>
  <c r="G7" i="46"/>
  <c r="J188" i="46"/>
  <c r="K188" i="46" s="1"/>
  <c r="H188" i="46"/>
  <c r="I188" i="46" s="1"/>
  <c r="G188" i="46"/>
  <c r="J168" i="46"/>
  <c r="K168" i="46" s="1"/>
  <c r="H168" i="46"/>
  <c r="I168" i="46" s="1"/>
  <c r="G168" i="46"/>
  <c r="J147" i="46"/>
  <c r="K147" i="46" s="1"/>
  <c r="H147" i="46"/>
  <c r="I147" i="46" s="1"/>
  <c r="G147" i="46"/>
  <c r="J15" i="46"/>
  <c r="H15" i="46"/>
  <c r="I15" i="46" s="1"/>
  <c r="G15" i="46"/>
  <c r="J370" i="46"/>
  <c r="K370" i="46" s="1"/>
  <c r="H370" i="46"/>
  <c r="I370" i="46" s="1"/>
  <c r="G370" i="46"/>
  <c r="J307" i="46"/>
  <c r="K307" i="46" s="1"/>
  <c r="H307" i="46"/>
  <c r="I307" i="46" s="1"/>
  <c r="G307" i="46"/>
  <c r="H33" i="46"/>
  <c r="I33" i="46" s="1"/>
  <c r="J33" i="46"/>
  <c r="K33" i="46" s="1"/>
  <c r="G33" i="46"/>
  <c r="J29" i="46"/>
  <c r="K29" i="46" s="1"/>
  <c r="H29" i="46"/>
  <c r="I29" i="46" s="1"/>
  <c r="G29" i="46"/>
  <c r="J398" i="46"/>
  <c r="K398" i="46" s="1"/>
  <c r="H398" i="46"/>
  <c r="I398" i="46" s="1"/>
  <c r="G398" i="46"/>
  <c r="J336" i="46"/>
  <c r="K336" i="46" s="1"/>
  <c r="H336" i="46"/>
  <c r="I336" i="46" s="1"/>
  <c r="G336" i="46"/>
  <c r="J270" i="46"/>
  <c r="K270" i="46" s="1"/>
  <c r="H270" i="46"/>
  <c r="I270" i="46" s="1"/>
  <c r="G270" i="46"/>
  <c r="J236" i="46"/>
  <c r="K236" i="46" s="1"/>
  <c r="H236" i="46"/>
  <c r="I236" i="46" s="1"/>
  <c r="G236" i="46"/>
  <c r="J267" i="46"/>
  <c r="K267" i="46" s="1"/>
  <c r="H267" i="46"/>
  <c r="I267" i="46" s="1"/>
  <c r="G267" i="46"/>
  <c r="J298" i="46"/>
  <c r="K298" i="46" s="1"/>
  <c r="H298" i="46"/>
  <c r="I298" i="46" s="1"/>
  <c r="G298" i="46"/>
  <c r="J329" i="46"/>
  <c r="K329" i="46" s="1"/>
  <c r="H329" i="46"/>
  <c r="I329" i="46" s="1"/>
  <c r="G329" i="46"/>
  <c r="J361" i="46"/>
  <c r="K361" i="46" s="1"/>
  <c r="H361" i="46"/>
  <c r="I361" i="46" s="1"/>
  <c r="G361" i="46"/>
  <c r="J391" i="46"/>
  <c r="K391" i="46" s="1"/>
  <c r="H391" i="46"/>
  <c r="I391" i="46" s="1"/>
  <c r="G391" i="46"/>
  <c r="J11" i="46"/>
  <c r="K11" i="46" s="1"/>
  <c r="H11" i="46"/>
  <c r="I11" i="46" s="1"/>
  <c r="G11" i="46"/>
  <c r="H123" i="46"/>
  <c r="I123" i="46" s="1"/>
  <c r="J123" i="46"/>
  <c r="G123" i="46"/>
  <c r="H141" i="46"/>
  <c r="I141" i="46" s="1"/>
  <c r="J141" i="46"/>
  <c r="K141" i="46" s="1"/>
  <c r="G141" i="46"/>
  <c r="J76" i="46"/>
  <c r="K76" i="46" s="1"/>
  <c r="H76" i="46"/>
  <c r="I76" i="46" s="1"/>
  <c r="G76" i="46"/>
  <c r="J237" i="46"/>
  <c r="K237" i="46" s="1"/>
  <c r="H237" i="46"/>
  <c r="I237" i="46" s="1"/>
  <c r="G237" i="46"/>
  <c r="J268" i="46"/>
  <c r="K268" i="46" s="1"/>
  <c r="H268" i="46"/>
  <c r="I268" i="46" s="1"/>
  <c r="G268" i="46"/>
  <c r="J234" i="46"/>
  <c r="K234" i="46" s="1"/>
  <c r="H234" i="46"/>
  <c r="I234" i="46" s="1"/>
  <c r="G234" i="46"/>
  <c r="J265" i="46"/>
  <c r="K265" i="46" s="1"/>
  <c r="H265" i="46"/>
  <c r="I265" i="46" s="1"/>
  <c r="G265" i="46"/>
  <c r="J296" i="46"/>
  <c r="K296" i="46" s="1"/>
  <c r="H296" i="46"/>
  <c r="I296" i="46" s="1"/>
  <c r="G296" i="46"/>
  <c r="J327" i="46"/>
  <c r="K327" i="46" s="1"/>
  <c r="H327" i="46"/>
  <c r="I327" i="46" s="1"/>
  <c r="G327" i="46"/>
  <c r="J359" i="46"/>
  <c r="K359" i="46" s="1"/>
  <c r="H359" i="46"/>
  <c r="I359" i="46" s="1"/>
  <c r="G359" i="46"/>
  <c r="J389" i="46"/>
  <c r="K389" i="46" s="1"/>
  <c r="H389" i="46"/>
  <c r="I389" i="46" s="1"/>
  <c r="G389" i="46"/>
  <c r="J99" i="46"/>
  <c r="K99" i="46" s="1"/>
  <c r="H99" i="46"/>
  <c r="I99" i="46" s="1"/>
  <c r="G99" i="46"/>
  <c r="J121" i="46"/>
  <c r="K121" i="46" s="1"/>
  <c r="H121" i="46"/>
  <c r="I121" i="46" s="1"/>
  <c r="G121" i="46"/>
  <c r="J140" i="46"/>
  <c r="K140" i="46" s="1"/>
  <c r="H140" i="46"/>
  <c r="I140" i="46" s="1"/>
  <c r="G140" i="46"/>
  <c r="J34" i="46"/>
  <c r="K34" i="46" s="1"/>
  <c r="H34" i="46"/>
  <c r="I34" i="46" s="1"/>
  <c r="G34" i="46"/>
  <c r="J87" i="46"/>
  <c r="K87" i="46" s="1"/>
  <c r="H87" i="46"/>
  <c r="I87" i="46" s="1"/>
  <c r="G87" i="46"/>
  <c r="J193" i="46"/>
  <c r="K193" i="46" s="1"/>
  <c r="H193" i="46"/>
  <c r="I193" i="46" s="1"/>
  <c r="G193" i="46"/>
  <c r="J174" i="46"/>
  <c r="K174" i="46" s="1"/>
  <c r="H174" i="46"/>
  <c r="I174" i="46" s="1"/>
  <c r="G174" i="46"/>
  <c r="J158" i="46"/>
  <c r="K158" i="46" s="1"/>
  <c r="H158" i="46"/>
  <c r="I158" i="46" s="1"/>
  <c r="G158" i="46"/>
  <c r="J61" i="46"/>
  <c r="K61" i="46" s="1"/>
  <c r="H61" i="46"/>
  <c r="G61" i="46"/>
  <c r="J388" i="46"/>
  <c r="K388" i="46" s="1"/>
  <c r="H388" i="46"/>
  <c r="I388" i="46" s="1"/>
  <c r="G388" i="46"/>
  <c r="J326" i="46"/>
  <c r="K326" i="46" s="1"/>
  <c r="H326" i="46"/>
  <c r="I326" i="46" s="1"/>
  <c r="G326" i="46"/>
  <c r="J251" i="46"/>
  <c r="K251" i="46" s="1"/>
  <c r="H251" i="46"/>
  <c r="I251" i="46" s="1"/>
  <c r="G251" i="46"/>
  <c r="J171" i="46"/>
  <c r="K171" i="46" s="1"/>
  <c r="H171" i="46"/>
  <c r="I171" i="46" s="1"/>
  <c r="G171" i="46"/>
  <c r="J198" i="46"/>
  <c r="K198" i="46" s="1"/>
  <c r="H198" i="46"/>
  <c r="I198" i="46" s="1"/>
  <c r="G198" i="46"/>
  <c r="J6" i="46"/>
  <c r="K6" i="46" s="1"/>
  <c r="H6" i="46"/>
  <c r="I6" i="46" s="1"/>
  <c r="G6" i="46"/>
  <c r="J59" i="46"/>
  <c r="K59" i="46" s="1"/>
  <c r="H59" i="46"/>
  <c r="I59" i="46" s="1"/>
  <c r="G59" i="46"/>
  <c r="J128" i="46"/>
  <c r="K128" i="46" s="1"/>
  <c r="H128" i="46"/>
  <c r="I128" i="46" s="1"/>
  <c r="G128" i="46"/>
  <c r="J402" i="46"/>
  <c r="K402" i="46" s="1"/>
  <c r="H402" i="46"/>
  <c r="I402" i="46" s="1"/>
  <c r="G402" i="46"/>
  <c r="J340" i="46"/>
  <c r="K340" i="46" s="1"/>
  <c r="H340" i="46"/>
  <c r="I340" i="46" s="1"/>
  <c r="G340" i="46"/>
  <c r="J278" i="46"/>
  <c r="K278" i="46" s="1"/>
  <c r="H278" i="46"/>
  <c r="I278" i="46" s="1"/>
  <c r="G278" i="46"/>
  <c r="J103" i="46"/>
  <c r="K103" i="46" s="1"/>
  <c r="H103" i="46"/>
  <c r="I103" i="46" s="1"/>
  <c r="G103" i="46"/>
  <c r="J238" i="46"/>
  <c r="K238" i="46" s="1"/>
  <c r="H238" i="46"/>
  <c r="I238" i="46" s="1"/>
  <c r="G238" i="46"/>
  <c r="J300" i="46"/>
  <c r="K300" i="46" s="1"/>
  <c r="H300" i="46"/>
  <c r="I300" i="46" s="1"/>
  <c r="G300" i="46"/>
  <c r="H363" i="46"/>
  <c r="I363" i="46" s="1"/>
  <c r="J363" i="46"/>
  <c r="K363" i="46" s="1"/>
  <c r="G363" i="46"/>
  <c r="H102" i="46"/>
  <c r="I102" i="46" s="1"/>
  <c r="J102" i="46"/>
  <c r="K102" i="46" s="1"/>
  <c r="G102" i="46"/>
  <c r="H124" i="46"/>
  <c r="I124" i="46" s="1"/>
  <c r="J124" i="46"/>
  <c r="K124" i="46" s="1"/>
  <c r="G124" i="46"/>
  <c r="H37" i="46"/>
  <c r="I37" i="46" s="1"/>
  <c r="J37" i="46"/>
  <c r="K37" i="46" s="1"/>
  <c r="G37" i="46"/>
  <c r="J214" i="46"/>
  <c r="K214" i="46" s="1"/>
  <c r="H214" i="46"/>
  <c r="I214" i="46" s="1"/>
  <c r="G214" i="46"/>
  <c r="J170" i="46"/>
  <c r="K170" i="46" s="1"/>
  <c r="H170" i="46"/>
  <c r="I170" i="46" s="1"/>
  <c r="G170" i="46"/>
  <c r="J218" i="46"/>
  <c r="K218" i="46" s="1"/>
  <c r="H218" i="46"/>
  <c r="I218" i="46" s="1"/>
  <c r="G218" i="46"/>
  <c r="J288" i="46"/>
  <c r="K288" i="46" s="1"/>
  <c r="H288" i="46"/>
  <c r="I288" i="46" s="1"/>
  <c r="G288" i="46"/>
  <c r="J208" i="46"/>
  <c r="K208" i="46" s="1"/>
  <c r="H208" i="46"/>
  <c r="I208" i="46" s="1"/>
  <c r="G208" i="46"/>
  <c r="H39" i="46"/>
  <c r="I39" i="46" s="1"/>
  <c r="J39" i="46"/>
  <c r="K39" i="46" s="1"/>
  <c r="G39" i="46"/>
  <c r="J12" i="46"/>
  <c r="H12" i="46"/>
  <c r="I12" i="46" s="1"/>
  <c r="G12" i="46"/>
  <c r="J301" i="46"/>
  <c r="K301" i="46" s="1"/>
  <c r="H301" i="46"/>
  <c r="I301" i="46" s="1"/>
  <c r="G301" i="46"/>
  <c r="H57" i="46"/>
  <c r="I57" i="46" s="1"/>
  <c r="J57" i="46"/>
  <c r="K57" i="46" s="1"/>
  <c r="G57" i="46"/>
  <c r="J9" i="46"/>
  <c r="K9" i="46" s="1"/>
  <c r="H9" i="46"/>
  <c r="I9" i="46" s="1"/>
  <c r="G9" i="46"/>
  <c r="J72" i="46"/>
  <c r="K72" i="46" s="1"/>
  <c r="H72" i="46"/>
  <c r="I72" i="46" s="1"/>
  <c r="G72" i="46"/>
  <c r="J244" i="46"/>
  <c r="K244" i="46" s="1"/>
  <c r="H244" i="46"/>
  <c r="I244" i="46" s="1"/>
  <c r="G244" i="46"/>
  <c r="J306" i="46"/>
  <c r="K306" i="46" s="1"/>
  <c r="H306" i="46"/>
  <c r="I306" i="46" s="1"/>
  <c r="G306" i="46"/>
  <c r="J369" i="46"/>
  <c r="K369" i="46" s="1"/>
  <c r="H369" i="46"/>
  <c r="I369" i="46" s="1"/>
  <c r="G369" i="46"/>
  <c r="H21" i="46"/>
  <c r="I21" i="46" s="1"/>
  <c r="J21" i="46"/>
  <c r="K21" i="46" s="1"/>
  <c r="G21" i="46"/>
  <c r="H163" i="46"/>
  <c r="I163" i="46" s="1"/>
  <c r="J163" i="46"/>
  <c r="K163" i="46" s="1"/>
  <c r="G163" i="46"/>
  <c r="J276" i="46"/>
  <c r="K276" i="46" s="1"/>
  <c r="H276" i="46"/>
  <c r="I276" i="46" s="1"/>
  <c r="G276" i="46"/>
  <c r="J273" i="46"/>
  <c r="K273" i="46" s="1"/>
  <c r="H273" i="46"/>
  <c r="I273" i="46" s="1"/>
  <c r="G273" i="46"/>
  <c r="J335" i="46"/>
  <c r="K335" i="46" s="1"/>
  <c r="H335" i="46"/>
  <c r="I335" i="46" s="1"/>
  <c r="G335" i="46"/>
  <c r="H397" i="46"/>
  <c r="I397" i="46" s="1"/>
  <c r="J397" i="46"/>
  <c r="K397" i="46" s="1"/>
  <c r="G397" i="46"/>
  <c r="J50" i="46"/>
  <c r="K50" i="46" s="1"/>
  <c r="H50" i="46"/>
  <c r="I50" i="46" s="1"/>
  <c r="G50" i="46"/>
  <c r="J199" i="46"/>
  <c r="K199" i="46" s="1"/>
  <c r="H199" i="46"/>
  <c r="I199" i="46" s="1"/>
  <c r="G199" i="46"/>
  <c r="J60" i="46"/>
  <c r="K60" i="46" s="1"/>
  <c r="H60" i="46"/>
  <c r="I60" i="46" s="1"/>
  <c r="G60" i="46"/>
  <c r="J109" i="46"/>
  <c r="K109" i="46" s="1"/>
  <c r="H109" i="46"/>
  <c r="I109" i="46" s="1"/>
  <c r="G109" i="46"/>
  <c r="J310" i="46"/>
  <c r="K310" i="46" s="1"/>
  <c r="H310" i="46"/>
  <c r="I310" i="46" s="1"/>
  <c r="G310" i="46"/>
  <c r="J217" i="46"/>
  <c r="K217" i="46" s="1"/>
  <c r="H217" i="46"/>
  <c r="I217" i="46" s="1"/>
  <c r="G217" i="46"/>
  <c r="J173" i="46"/>
  <c r="K173" i="46" s="1"/>
  <c r="H173" i="46"/>
  <c r="I173" i="46" s="1"/>
  <c r="G173" i="46"/>
  <c r="J119" i="46"/>
  <c r="K119" i="46" s="1"/>
  <c r="H119" i="46"/>
  <c r="I119" i="46" s="1"/>
  <c r="G119" i="46"/>
  <c r="H324" i="46"/>
  <c r="I324" i="46" s="1"/>
  <c r="J324" i="46"/>
  <c r="K324" i="46" s="1"/>
  <c r="G324" i="46"/>
  <c r="AA321" i="40"/>
  <c r="H161" i="46"/>
  <c r="I161" i="46" s="1"/>
  <c r="J161" i="46"/>
  <c r="K161" i="46" s="1"/>
  <c r="G161" i="46"/>
  <c r="H207" i="46"/>
  <c r="I207" i="46" s="1"/>
  <c r="J207" i="46"/>
  <c r="K207" i="46" s="1"/>
  <c r="G207" i="46"/>
  <c r="J186" i="46"/>
  <c r="K186" i="46" s="1"/>
  <c r="H186" i="46"/>
  <c r="I186" i="46" s="1"/>
  <c r="G186" i="46"/>
  <c r="H46" i="46"/>
  <c r="I46" i="46" s="1"/>
  <c r="J46" i="46"/>
  <c r="K46" i="46" s="1"/>
  <c r="G46" i="46"/>
  <c r="J81" i="46"/>
  <c r="K81" i="46" s="1"/>
  <c r="H81" i="46"/>
  <c r="I81" i="46" s="1"/>
  <c r="G81" i="46"/>
  <c r="J101" i="46"/>
  <c r="K101" i="46" s="1"/>
  <c r="H101" i="46"/>
  <c r="I101" i="46" s="1"/>
  <c r="G101" i="46"/>
  <c r="J362" i="46"/>
  <c r="K362" i="46" s="1"/>
  <c r="H362" i="46"/>
  <c r="I362" i="46" s="1"/>
  <c r="G362" i="46"/>
  <c r="H88" i="46"/>
  <c r="I88" i="46" s="1"/>
  <c r="J88" i="46"/>
  <c r="K88" i="46" s="1"/>
  <c r="G88" i="46"/>
  <c r="J86" i="46"/>
  <c r="K86" i="46" s="1"/>
  <c r="H86" i="46"/>
  <c r="I86" i="46" s="1"/>
  <c r="G86" i="46"/>
  <c r="J78" i="46"/>
  <c r="K78" i="46" s="1"/>
  <c r="H78" i="46"/>
  <c r="I78" i="46" s="1"/>
  <c r="G78" i="46"/>
  <c r="J172" i="46"/>
  <c r="K172" i="46" s="1"/>
  <c r="H172" i="46"/>
  <c r="I172" i="46" s="1"/>
  <c r="G172" i="46"/>
  <c r="J156" i="46"/>
  <c r="K156" i="46" s="1"/>
  <c r="H156" i="46"/>
  <c r="I156" i="46" s="1"/>
  <c r="G156" i="46"/>
  <c r="J117" i="46"/>
  <c r="K117" i="46" s="1"/>
  <c r="H117" i="46"/>
  <c r="I117" i="46" s="1"/>
  <c r="G117" i="46"/>
  <c r="J384" i="46"/>
  <c r="K384" i="46" s="1"/>
  <c r="H384" i="46"/>
  <c r="I384" i="46" s="1"/>
  <c r="G384" i="46"/>
  <c r="J322" i="46"/>
  <c r="K322" i="46" s="1"/>
  <c r="H322" i="46"/>
  <c r="I322" i="46" s="1"/>
  <c r="G322" i="46"/>
  <c r="H206" i="46"/>
  <c r="I206" i="46" s="1"/>
  <c r="J206" i="46"/>
  <c r="K206" i="46" s="1"/>
  <c r="G206" i="46"/>
  <c r="J382" i="46"/>
  <c r="K382" i="46" s="1"/>
  <c r="H382" i="46"/>
  <c r="I382" i="46" s="1"/>
  <c r="G382" i="46"/>
  <c r="J228" i="46"/>
  <c r="K228" i="46" s="1"/>
  <c r="H228" i="46"/>
  <c r="I228" i="46" s="1"/>
  <c r="G228" i="46"/>
  <c r="J290" i="46"/>
  <c r="K290" i="46" s="1"/>
  <c r="H290" i="46"/>
  <c r="I290" i="46" s="1"/>
  <c r="G290" i="46"/>
  <c r="J353" i="46"/>
  <c r="K353" i="46" s="1"/>
  <c r="H353" i="46"/>
  <c r="I353" i="46" s="1"/>
  <c r="G353" i="46"/>
  <c r="H93" i="46"/>
  <c r="I93" i="46" s="1"/>
  <c r="J93" i="46"/>
  <c r="K93" i="46" s="1"/>
  <c r="G93" i="46"/>
  <c r="J116" i="46"/>
  <c r="K116" i="46" s="1"/>
  <c r="H116" i="46"/>
  <c r="I116" i="46" s="1"/>
  <c r="G116" i="46"/>
  <c r="H155" i="46"/>
  <c r="I155" i="46" s="1"/>
  <c r="J155" i="46"/>
  <c r="K155" i="46" s="1"/>
  <c r="G155" i="46"/>
  <c r="J260" i="46"/>
  <c r="K260" i="46" s="1"/>
  <c r="H260" i="46"/>
  <c r="I260" i="46" s="1"/>
  <c r="G260" i="46"/>
  <c r="J258" i="46"/>
  <c r="K258" i="46" s="1"/>
  <c r="H258" i="46"/>
  <c r="I258" i="46" s="1"/>
  <c r="G258" i="46"/>
  <c r="J319" i="46"/>
  <c r="K319" i="46" s="1"/>
  <c r="H319" i="46"/>
  <c r="I319" i="46" s="1"/>
  <c r="G319" i="46"/>
  <c r="H381" i="46"/>
  <c r="I381" i="46" s="1"/>
  <c r="J381" i="46"/>
  <c r="K381" i="46" s="1"/>
  <c r="G381" i="46"/>
  <c r="J105" i="46"/>
  <c r="K105" i="46" s="1"/>
  <c r="H105" i="46"/>
  <c r="I105" i="46" s="1"/>
  <c r="G105" i="46"/>
  <c r="J38" i="46"/>
  <c r="K38" i="46" s="1"/>
  <c r="H38" i="46"/>
  <c r="G38" i="46"/>
  <c r="J212" i="46"/>
  <c r="K212" i="46" s="1"/>
  <c r="H212" i="46"/>
  <c r="I212" i="46" s="1"/>
  <c r="G212" i="46"/>
  <c r="J169" i="46"/>
  <c r="K169" i="46" s="1"/>
  <c r="H169" i="46"/>
  <c r="I169" i="46" s="1"/>
  <c r="G169" i="46"/>
  <c r="J404" i="46"/>
  <c r="K404" i="46" s="1"/>
  <c r="H404" i="46"/>
  <c r="I404" i="46" s="1"/>
  <c r="G404" i="46"/>
  <c r="J219" i="46"/>
  <c r="K219" i="46" s="1"/>
  <c r="H219" i="46"/>
  <c r="I219" i="46" s="1"/>
  <c r="G219" i="46"/>
  <c r="J204" i="46"/>
  <c r="K204" i="46" s="1"/>
  <c r="H204" i="46"/>
  <c r="I204" i="46" s="1"/>
  <c r="G204" i="46"/>
  <c r="J165" i="46"/>
  <c r="K165" i="46" s="1"/>
  <c r="H165" i="46"/>
  <c r="I165" i="46" s="1"/>
  <c r="G165" i="46"/>
  <c r="J96" i="46"/>
  <c r="K96" i="46" s="1"/>
  <c r="H96" i="46"/>
  <c r="I96" i="46" s="1"/>
  <c r="G96" i="46"/>
  <c r="J293" i="46"/>
  <c r="K293" i="46" s="1"/>
  <c r="H293" i="46"/>
  <c r="I293" i="46" s="1"/>
  <c r="G293" i="46"/>
  <c r="J299" i="46"/>
  <c r="K299" i="46" s="1"/>
  <c r="H299" i="46"/>
  <c r="I299" i="46" s="1"/>
  <c r="G299" i="46"/>
  <c r="H90" i="46"/>
  <c r="I90" i="46" s="1"/>
  <c r="J90" i="46"/>
  <c r="K90" i="46" s="1"/>
  <c r="G90" i="46"/>
  <c r="J70" i="46"/>
  <c r="K70" i="46" s="1"/>
  <c r="H70" i="46"/>
  <c r="G70" i="46"/>
  <c r="J100" i="46"/>
  <c r="K100" i="46" s="1"/>
  <c r="H100" i="46"/>
  <c r="I100" i="46" s="1"/>
  <c r="G100" i="46"/>
  <c r="J360" i="46"/>
  <c r="K360" i="46" s="1"/>
  <c r="H360" i="46"/>
  <c r="I360" i="46" s="1"/>
  <c r="G360" i="46"/>
  <c r="J297" i="46"/>
  <c r="K297" i="46" s="1"/>
  <c r="H297" i="46"/>
  <c r="I297" i="46" s="1"/>
  <c r="G297" i="46"/>
  <c r="J224" i="46"/>
  <c r="K224" i="46" s="1"/>
  <c r="H224" i="46"/>
  <c r="I224" i="46" s="1"/>
  <c r="G224" i="46"/>
  <c r="J256" i="46"/>
  <c r="K256" i="46" s="1"/>
  <c r="H256" i="46"/>
  <c r="I256" i="46" s="1"/>
  <c r="G256" i="46"/>
  <c r="J287" i="46"/>
  <c r="K287" i="46" s="1"/>
  <c r="H287" i="46"/>
  <c r="I287" i="46" s="1"/>
  <c r="G287" i="46"/>
  <c r="J317" i="46"/>
  <c r="K317" i="46" s="1"/>
  <c r="H317" i="46"/>
  <c r="I317" i="46" s="1"/>
  <c r="G317" i="46"/>
  <c r="J349" i="46"/>
  <c r="K349" i="46" s="1"/>
  <c r="H349" i="46"/>
  <c r="I349" i="46" s="1"/>
  <c r="G349" i="46"/>
  <c r="J379" i="46"/>
  <c r="K379" i="46" s="1"/>
  <c r="H379" i="46"/>
  <c r="I379" i="46" s="1"/>
  <c r="G379" i="46"/>
  <c r="J410" i="46"/>
  <c r="K410" i="46" s="1"/>
  <c r="H410" i="46"/>
  <c r="I410" i="46" s="1"/>
  <c r="G410" i="46"/>
  <c r="J14" i="46"/>
  <c r="K14" i="46" s="1"/>
  <c r="H14" i="46"/>
  <c r="G14" i="46"/>
  <c r="J144" i="46"/>
  <c r="K144" i="46" s="1"/>
  <c r="H144" i="46"/>
  <c r="I144" i="46" s="1"/>
  <c r="G144" i="46"/>
  <c r="J65" i="46"/>
  <c r="K65" i="46" s="1"/>
  <c r="H65" i="46"/>
  <c r="I65" i="46" s="1"/>
  <c r="G65" i="46"/>
  <c r="J241" i="46"/>
  <c r="K241" i="46" s="1"/>
  <c r="H241" i="46"/>
  <c r="I241" i="46" s="1"/>
  <c r="G241" i="46"/>
  <c r="J222" i="46"/>
  <c r="K222" i="46" s="1"/>
  <c r="H222" i="46"/>
  <c r="I222" i="46" s="1"/>
  <c r="G222" i="46"/>
  <c r="J285" i="46"/>
  <c r="K285" i="46" s="1"/>
  <c r="H285" i="46"/>
  <c r="I285" i="46" s="1"/>
  <c r="G285" i="46"/>
  <c r="J347" i="46"/>
  <c r="K347" i="46" s="1"/>
  <c r="H347" i="46"/>
  <c r="I347" i="46" s="1"/>
  <c r="G347" i="46"/>
  <c r="J25" i="46"/>
  <c r="K25" i="46" s="1"/>
  <c r="H25" i="46"/>
  <c r="I25" i="46" s="1"/>
  <c r="G25" i="46"/>
  <c r="J79" i="46"/>
  <c r="K79" i="46" s="1"/>
  <c r="H79" i="46"/>
  <c r="G79" i="46"/>
  <c r="J182" i="46"/>
  <c r="K182" i="46" s="1"/>
  <c r="H182" i="46"/>
  <c r="I182" i="46" s="1"/>
  <c r="G182" i="46"/>
  <c r="J135" i="46"/>
  <c r="K135" i="46" s="1"/>
  <c r="H135" i="46"/>
  <c r="I135" i="46" s="1"/>
  <c r="G135" i="46"/>
  <c r="J380" i="46"/>
  <c r="K380" i="46" s="1"/>
  <c r="H380" i="46"/>
  <c r="I380" i="46" s="1"/>
  <c r="G380" i="46"/>
  <c r="J235" i="46"/>
  <c r="K235" i="46" s="1"/>
  <c r="H235" i="46"/>
  <c r="I235" i="46" s="1"/>
  <c r="G235" i="46"/>
  <c r="J196" i="46"/>
  <c r="K196" i="46" s="1"/>
  <c r="H196" i="46"/>
  <c r="I196" i="46" s="1"/>
  <c r="G196" i="46"/>
  <c r="J77" i="46"/>
  <c r="K77" i="46" s="1"/>
  <c r="H77" i="46"/>
  <c r="I77" i="46" s="1"/>
  <c r="G77" i="46"/>
  <c r="J394" i="46"/>
  <c r="K394" i="46" s="1"/>
  <c r="H394" i="46"/>
  <c r="I394" i="46" s="1"/>
  <c r="G394" i="46"/>
  <c r="J213" i="46"/>
  <c r="K213" i="46" s="1"/>
  <c r="H213" i="46"/>
  <c r="I213" i="46" s="1"/>
  <c r="G213" i="46"/>
  <c r="J42" i="46"/>
  <c r="K42" i="46" s="1"/>
  <c r="H42" i="46"/>
  <c r="I42" i="46" s="1"/>
  <c r="G42" i="46"/>
  <c r="J197" i="46"/>
  <c r="K197" i="46" s="1"/>
  <c r="H197" i="46"/>
  <c r="G197" i="46"/>
  <c r="J177" i="46"/>
  <c r="K177" i="46" s="1"/>
  <c r="H177" i="46"/>
  <c r="I177" i="46" s="1"/>
  <c r="G177" i="46"/>
  <c r="J162" i="46"/>
  <c r="K162" i="46" s="1"/>
  <c r="H162" i="46"/>
  <c r="I162" i="46" s="1"/>
  <c r="G162" i="46"/>
  <c r="J127" i="46"/>
  <c r="K127" i="46" s="1"/>
  <c r="H127" i="46"/>
  <c r="I127" i="46" s="1"/>
  <c r="G127" i="46"/>
  <c r="J400" i="46"/>
  <c r="K400" i="46" s="1"/>
  <c r="H400" i="46"/>
  <c r="I400" i="46" s="1"/>
  <c r="G400" i="46"/>
  <c r="J338" i="46"/>
  <c r="K338" i="46" s="1"/>
  <c r="H338" i="46"/>
  <c r="I338" i="46" s="1"/>
  <c r="G338" i="46"/>
  <c r="J274" i="46"/>
  <c r="K274" i="46" s="1"/>
  <c r="H274" i="46"/>
  <c r="I274" i="46" s="1"/>
  <c r="G274" i="46"/>
  <c r="J146" i="46"/>
  <c r="K146" i="46" s="1"/>
  <c r="H146" i="46"/>
  <c r="I146" i="46" s="1"/>
  <c r="G146" i="46"/>
  <c r="J10" i="46"/>
  <c r="H10" i="46"/>
  <c r="I10" i="46" s="1"/>
  <c r="G10" i="46"/>
  <c r="J368" i="46"/>
  <c r="K368" i="46" s="1"/>
  <c r="H368" i="46"/>
  <c r="I368" i="46" s="1"/>
  <c r="G368" i="46"/>
  <c r="J305" i="46"/>
  <c r="K305" i="46" s="1"/>
  <c r="H305" i="46"/>
  <c r="I305" i="46" s="1"/>
  <c r="G305" i="46"/>
  <c r="J220" i="46"/>
  <c r="K220" i="46" s="1"/>
  <c r="H220" i="46"/>
  <c r="I220" i="46" s="1"/>
  <c r="G220" i="46"/>
  <c r="J252" i="46"/>
  <c r="K252" i="46" s="1"/>
  <c r="H252" i="46"/>
  <c r="I252" i="46" s="1"/>
  <c r="G252" i="46"/>
  <c r="J283" i="46"/>
  <c r="K283" i="46" s="1"/>
  <c r="H283" i="46"/>
  <c r="I283" i="46" s="1"/>
  <c r="G283" i="46"/>
  <c r="J313" i="46"/>
  <c r="K313" i="46" s="1"/>
  <c r="H313" i="46"/>
  <c r="I313" i="46" s="1"/>
  <c r="G313" i="46"/>
  <c r="J345" i="46"/>
  <c r="K345" i="46" s="1"/>
  <c r="H345" i="46"/>
  <c r="I345" i="46" s="1"/>
  <c r="G345" i="46"/>
  <c r="J376" i="46"/>
  <c r="K376" i="46" s="1"/>
  <c r="H376" i="46"/>
  <c r="I376" i="46" s="1"/>
  <c r="G376" i="46"/>
  <c r="J407" i="46"/>
  <c r="K407" i="46" s="1"/>
  <c r="H407" i="46"/>
  <c r="I407" i="46" s="1"/>
  <c r="G407" i="46"/>
  <c r="H110" i="46"/>
  <c r="I110" i="46" s="1"/>
  <c r="J110" i="46"/>
  <c r="K110" i="46" s="1"/>
  <c r="G110" i="46"/>
  <c r="J18" i="46"/>
  <c r="H18" i="46"/>
  <c r="I18" i="46" s="1"/>
  <c r="G18" i="46"/>
  <c r="H44" i="46"/>
  <c r="I44" i="46" s="1"/>
  <c r="J44" i="46"/>
  <c r="K44" i="46" s="1"/>
  <c r="G44" i="46"/>
  <c r="J221" i="46"/>
  <c r="K221" i="46" s="1"/>
  <c r="H221" i="46"/>
  <c r="I221" i="46" s="1"/>
  <c r="G221" i="46"/>
  <c r="J253" i="46"/>
  <c r="K253" i="46" s="1"/>
  <c r="H253" i="46"/>
  <c r="I253" i="46" s="1"/>
  <c r="G253" i="46"/>
  <c r="J411" i="46"/>
  <c r="K411" i="46" s="1"/>
  <c r="H411" i="46"/>
  <c r="I411" i="46" s="1"/>
  <c r="G411" i="46"/>
  <c r="J250" i="46"/>
  <c r="K250" i="46" s="1"/>
  <c r="H250" i="46"/>
  <c r="I250" i="46" s="1"/>
  <c r="G250" i="46"/>
  <c r="J281" i="46"/>
  <c r="K281" i="46" s="1"/>
  <c r="H281" i="46"/>
  <c r="I281" i="46" s="1"/>
  <c r="G281" i="46"/>
  <c r="J311" i="46"/>
  <c r="K311" i="46" s="1"/>
  <c r="H311" i="46"/>
  <c r="I311" i="46" s="1"/>
  <c r="G311" i="46"/>
  <c r="J343" i="46"/>
  <c r="K343" i="46" s="1"/>
  <c r="H343" i="46"/>
  <c r="I343" i="46" s="1"/>
  <c r="G343" i="46"/>
  <c r="J374" i="46"/>
  <c r="K374" i="46" s="1"/>
  <c r="H374" i="46"/>
  <c r="I374" i="46" s="1"/>
  <c r="G374" i="46"/>
  <c r="J405" i="46"/>
  <c r="K405" i="46" s="1"/>
  <c r="H405" i="46"/>
  <c r="I405" i="46" s="1"/>
  <c r="G405" i="46"/>
  <c r="J67" i="46"/>
  <c r="K67" i="46" s="1"/>
  <c r="H67" i="46"/>
  <c r="I67" i="46" s="1"/>
  <c r="G67" i="46"/>
  <c r="J130" i="46"/>
  <c r="K130" i="46" s="1"/>
  <c r="H130" i="46"/>
  <c r="I130" i="46" s="1"/>
  <c r="G130" i="46"/>
  <c r="J82" i="46"/>
  <c r="K82" i="46" s="1"/>
  <c r="H82" i="46"/>
  <c r="I82" i="46" s="1"/>
  <c r="G82" i="46"/>
  <c r="J64" i="46"/>
  <c r="K64" i="46" s="1"/>
  <c r="H64" i="46"/>
  <c r="I64" i="46" s="1"/>
  <c r="G64" i="46"/>
  <c r="J205" i="46"/>
  <c r="K205" i="46" s="1"/>
  <c r="H205" i="46"/>
  <c r="I205" i="46" s="1"/>
  <c r="G205" i="46"/>
  <c r="J62" i="46"/>
  <c r="K62" i="46" s="1"/>
  <c r="H62" i="46"/>
  <c r="G62" i="46"/>
  <c r="J166" i="46"/>
  <c r="K166" i="46" s="1"/>
  <c r="H166" i="46"/>
  <c r="I166" i="46" s="1"/>
  <c r="G166" i="46"/>
  <c r="J139" i="46"/>
  <c r="K139" i="46" s="1"/>
  <c r="H139" i="46"/>
  <c r="I139" i="46" s="1"/>
  <c r="G139" i="46"/>
  <c r="J98" i="46"/>
  <c r="K98" i="46" s="1"/>
  <c r="H98" i="46"/>
  <c r="I98" i="46" s="1"/>
  <c r="G98" i="46"/>
  <c r="J358" i="46"/>
  <c r="K358" i="46" s="1"/>
  <c r="H358" i="46"/>
  <c r="I358" i="46" s="1"/>
  <c r="G358" i="46"/>
  <c r="J295" i="46"/>
  <c r="K295" i="46" s="1"/>
  <c r="H295" i="46"/>
  <c r="I295" i="46" s="1"/>
  <c r="G295" i="46"/>
  <c r="H215" i="46"/>
  <c r="I215" i="46" s="1"/>
  <c r="J215" i="46"/>
  <c r="K215" i="46" s="1"/>
  <c r="G215" i="46"/>
  <c r="J211" i="46"/>
  <c r="K211" i="46" s="1"/>
  <c r="H211" i="46"/>
  <c r="I211" i="46" s="1"/>
  <c r="G211" i="46"/>
  <c r="J189" i="46"/>
  <c r="K189" i="46" s="1"/>
  <c r="H189" i="46"/>
  <c r="I189" i="46" s="1"/>
  <c r="G189" i="46"/>
  <c r="J24" i="46"/>
  <c r="K24" i="46" s="1"/>
  <c r="H24" i="46"/>
  <c r="I24" i="46" s="1"/>
  <c r="G24" i="46"/>
  <c r="J75" i="46"/>
  <c r="K75" i="46" s="1"/>
  <c r="H75" i="46"/>
  <c r="I75" i="46" s="1"/>
  <c r="G75" i="46"/>
  <c r="J107" i="46"/>
  <c r="K107" i="46" s="1"/>
  <c r="H107" i="46"/>
  <c r="I107" i="46" s="1"/>
  <c r="G107" i="46"/>
  <c r="J372" i="46"/>
  <c r="K372" i="46" s="1"/>
  <c r="H372" i="46"/>
  <c r="I372" i="46" s="1"/>
  <c r="G372" i="46"/>
  <c r="J309" i="46"/>
  <c r="K309" i="46" s="1"/>
  <c r="H309" i="46"/>
  <c r="I309" i="46" s="1"/>
  <c r="G309" i="46"/>
  <c r="J257" i="46"/>
  <c r="K257" i="46" s="1"/>
  <c r="H257" i="46"/>
  <c r="I257" i="46" s="1"/>
  <c r="G257" i="46"/>
  <c r="H269" i="46"/>
  <c r="I269" i="46" s="1"/>
  <c r="J269" i="46"/>
  <c r="K269" i="46" s="1"/>
  <c r="G269" i="46"/>
  <c r="H331" i="46"/>
  <c r="I331" i="46" s="1"/>
  <c r="J331" i="46"/>
  <c r="K331" i="46" s="1"/>
  <c r="G331" i="46"/>
  <c r="J393" i="46"/>
  <c r="K393" i="46" s="1"/>
  <c r="H393" i="46"/>
  <c r="I393" i="46" s="1"/>
  <c r="G393" i="46"/>
  <c r="H8" i="46"/>
  <c r="I8" i="46" s="1"/>
  <c r="J8" i="46"/>
  <c r="G8" i="46"/>
  <c r="H133" i="46"/>
  <c r="I133" i="46" s="1"/>
  <c r="J133" i="46"/>
  <c r="K133" i="46" s="1"/>
  <c r="G133" i="46"/>
  <c r="J151" i="46"/>
  <c r="K151" i="46" s="1"/>
  <c r="H151" i="46"/>
  <c r="I151" i="46" s="1"/>
  <c r="G151" i="46"/>
  <c r="J192" i="46"/>
  <c r="K192" i="46" s="1"/>
  <c r="H192" i="46"/>
  <c r="I192" i="46" s="1"/>
  <c r="G192" i="46"/>
  <c r="J41" i="46"/>
  <c r="K41" i="46" s="1"/>
  <c r="H41" i="46"/>
  <c r="I41" i="46" s="1"/>
  <c r="G41" i="46"/>
  <c r="J350" i="46"/>
  <c r="K350" i="46" s="1"/>
  <c r="H350" i="46"/>
  <c r="I350" i="46" s="1"/>
  <c r="G350" i="46"/>
  <c r="J63" i="46"/>
  <c r="K63" i="46" s="1"/>
  <c r="H63" i="46"/>
  <c r="G63" i="46"/>
  <c r="H187" i="46"/>
  <c r="I187" i="46" s="1"/>
  <c r="J187" i="46"/>
  <c r="K187" i="46" s="1"/>
  <c r="G187" i="46"/>
  <c r="J143" i="46"/>
  <c r="K143" i="46" s="1"/>
  <c r="H143" i="46"/>
  <c r="I143" i="46" s="1"/>
  <c r="G143" i="46"/>
  <c r="J364" i="46"/>
  <c r="K364" i="46" s="1"/>
  <c r="H364" i="46"/>
  <c r="I364" i="46" s="1"/>
  <c r="G364" i="46"/>
  <c r="H262" i="46"/>
  <c r="I262" i="46" s="1"/>
  <c r="J262" i="46"/>
  <c r="K262" i="46" s="1"/>
  <c r="G262" i="46"/>
  <c r="J291" i="46"/>
  <c r="K291" i="46" s="1"/>
  <c r="H291" i="46"/>
  <c r="I291" i="46" s="1"/>
  <c r="G291" i="46"/>
  <c r="J136" i="46"/>
  <c r="K136" i="46" s="1"/>
  <c r="H136" i="46"/>
  <c r="I136" i="46" s="1"/>
  <c r="G136" i="46"/>
  <c r="J352" i="46"/>
  <c r="K352" i="46" s="1"/>
  <c r="H352" i="46"/>
  <c r="I352" i="46" s="1"/>
  <c r="G352" i="46"/>
  <c r="J239" i="46"/>
  <c r="K239" i="46" s="1"/>
  <c r="H239" i="46"/>
  <c r="I239" i="46" s="1"/>
  <c r="G239" i="46"/>
  <c r="J275" i="46"/>
  <c r="K275" i="46" s="1"/>
  <c r="H275" i="46"/>
  <c r="I275" i="46" s="1"/>
  <c r="G275" i="46"/>
  <c r="J337" i="46"/>
  <c r="K337" i="46" s="1"/>
  <c r="H337" i="46"/>
  <c r="I337" i="46" s="1"/>
  <c r="G337" i="46"/>
  <c r="J399" i="46"/>
  <c r="K399" i="46" s="1"/>
  <c r="H399" i="46"/>
  <c r="I399" i="46" s="1"/>
  <c r="G399" i="46"/>
  <c r="J30" i="46"/>
  <c r="K30" i="46" s="1"/>
  <c r="H30" i="46"/>
  <c r="I30" i="46" s="1"/>
  <c r="G30" i="46"/>
  <c r="J245" i="46"/>
  <c r="K245" i="46" s="1"/>
  <c r="H245" i="46"/>
  <c r="I245" i="46" s="1"/>
  <c r="G245" i="46"/>
  <c r="J242" i="46"/>
  <c r="K242" i="46" s="1"/>
  <c r="H242" i="46"/>
  <c r="I242" i="46" s="1"/>
  <c r="G242" i="46"/>
  <c r="J304" i="46"/>
  <c r="K304" i="46" s="1"/>
  <c r="H304" i="46"/>
  <c r="I304" i="46" s="1"/>
  <c r="G304" i="46"/>
  <c r="H367" i="46"/>
  <c r="I367" i="46" s="1"/>
  <c r="J367" i="46"/>
  <c r="K367" i="46" s="1"/>
  <c r="G367" i="46"/>
  <c r="J115" i="46"/>
  <c r="K115" i="46" s="1"/>
  <c r="H115" i="46"/>
  <c r="I115" i="46" s="1"/>
  <c r="G115" i="46"/>
  <c r="J83" i="46"/>
  <c r="K83" i="46" s="1"/>
  <c r="H83" i="46"/>
  <c r="I83" i="46" s="1"/>
  <c r="G83" i="46"/>
  <c r="J178" i="46"/>
  <c r="K178" i="46" s="1"/>
  <c r="H178" i="46"/>
  <c r="I178" i="46" s="1"/>
  <c r="G178" i="46"/>
  <c r="J129" i="46"/>
  <c r="K129" i="46" s="1"/>
  <c r="H129" i="46"/>
  <c r="I129" i="46" s="1"/>
  <c r="G129" i="46"/>
  <c r="J19" i="46"/>
  <c r="K19" i="46" s="1"/>
  <c r="H19" i="46"/>
  <c r="I19" i="46" s="1"/>
  <c r="G19" i="46"/>
  <c r="J280" i="46"/>
  <c r="K280" i="46" s="1"/>
  <c r="H280" i="46"/>
  <c r="I280" i="46" s="1"/>
  <c r="G280" i="46"/>
  <c r="J5" i="46"/>
  <c r="H5" i="46"/>
  <c r="I5" i="46" s="1"/>
  <c r="G5" i="46"/>
  <c r="H157" i="46"/>
  <c r="I157" i="46" s="1"/>
  <c r="J157" i="46"/>
  <c r="K157" i="46" s="1"/>
  <c r="G157" i="46"/>
  <c r="J386" i="46"/>
  <c r="K386" i="46" s="1"/>
  <c r="H386" i="46"/>
  <c r="I386" i="46" s="1"/>
  <c r="G386" i="46"/>
  <c r="J200" i="46"/>
  <c r="K200" i="46" s="1"/>
  <c r="H200" i="46"/>
  <c r="I200" i="46" s="1"/>
  <c r="G200" i="46"/>
  <c r="J180" i="46"/>
  <c r="K180" i="46" s="1"/>
  <c r="H180" i="46"/>
  <c r="I180" i="46" s="1"/>
  <c r="G180" i="46"/>
  <c r="J164" i="46"/>
  <c r="K164" i="46" s="1"/>
  <c r="H164" i="46"/>
  <c r="I164" i="46" s="1"/>
  <c r="G164" i="46"/>
  <c r="H132" i="46"/>
  <c r="I132" i="46" s="1"/>
  <c r="J132" i="46"/>
  <c r="G132" i="46"/>
  <c r="J408" i="46"/>
  <c r="K408" i="46" s="1"/>
  <c r="H408" i="46"/>
  <c r="I408" i="46" s="1"/>
  <c r="G408" i="46"/>
  <c r="J346" i="46"/>
  <c r="K346" i="46" s="1"/>
  <c r="H346" i="46"/>
  <c r="I346" i="46" s="1"/>
  <c r="G346" i="46"/>
  <c r="J284" i="46"/>
  <c r="K284" i="46" s="1"/>
  <c r="H284" i="46"/>
  <c r="I284" i="46" s="1"/>
  <c r="G284" i="46"/>
  <c r="H194" i="46"/>
  <c r="I194" i="46" s="1"/>
  <c r="J194" i="46"/>
  <c r="K194" i="46" s="1"/>
  <c r="G194" i="46"/>
  <c r="J131" i="46"/>
  <c r="K131" i="46" s="1"/>
  <c r="H131" i="46"/>
  <c r="I131" i="46" s="1"/>
  <c r="G131" i="46"/>
  <c r="J406" i="46"/>
  <c r="K406" i="46" s="1"/>
  <c r="H406" i="46"/>
  <c r="I406" i="46" s="1"/>
  <c r="G406" i="46"/>
  <c r="J344" i="46"/>
  <c r="K344" i="46" s="1"/>
  <c r="H344" i="46"/>
  <c r="I344" i="46" s="1"/>
  <c r="G344" i="46"/>
  <c r="J282" i="46"/>
  <c r="K282" i="46" s="1"/>
  <c r="H282" i="46"/>
  <c r="I282" i="46" s="1"/>
  <c r="G282" i="46"/>
  <c r="J232" i="46"/>
  <c r="K232" i="46" s="1"/>
  <c r="H232" i="46"/>
  <c r="I232" i="46" s="1"/>
  <c r="G232" i="46"/>
  <c r="J263" i="46"/>
  <c r="K263" i="46" s="1"/>
  <c r="H263" i="46"/>
  <c r="I263" i="46" s="1"/>
  <c r="G263" i="46"/>
  <c r="J294" i="46"/>
  <c r="K294" i="46" s="1"/>
  <c r="H294" i="46"/>
  <c r="I294" i="46" s="1"/>
  <c r="G294" i="46"/>
  <c r="J325" i="46"/>
  <c r="K325" i="46" s="1"/>
  <c r="H325" i="46"/>
  <c r="I325" i="46" s="1"/>
  <c r="G325" i="46"/>
  <c r="J357" i="46"/>
  <c r="K357" i="46" s="1"/>
  <c r="H357" i="46"/>
  <c r="I357" i="46" s="1"/>
  <c r="G357" i="46"/>
  <c r="J387" i="46"/>
  <c r="K387" i="46" s="1"/>
  <c r="H387" i="46"/>
  <c r="I387" i="46" s="1"/>
  <c r="G387" i="46"/>
  <c r="J97" i="46"/>
  <c r="K97" i="46" s="1"/>
  <c r="H97" i="46"/>
  <c r="I97" i="46" s="1"/>
  <c r="G97" i="46"/>
  <c r="J120" i="46"/>
  <c r="K120" i="46" s="1"/>
  <c r="H120" i="46"/>
  <c r="I120" i="46" s="1"/>
  <c r="G120" i="46"/>
  <c r="J53" i="46"/>
  <c r="K53" i="46" s="1"/>
  <c r="H53" i="46"/>
  <c r="G53" i="46"/>
  <c r="J159" i="46"/>
  <c r="K159" i="46" s="1"/>
  <c r="H159" i="46"/>
  <c r="I159" i="46" s="1"/>
  <c r="G159" i="46"/>
  <c r="J249" i="46"/>
  <c r="K249" i="46" s="1"/>
  <c r="H249" i="46"/>
  <c r="I249" i="46" s="1"/>
  <c r="G249" i="46"/>
  <c r="J230" i="46"/>
  <c r="K230" i="46" s="1"/>
  <c r="H230" i="46"/>
  <c r="I230" i="46" s="1"/>
  <c r="G230" i="46"/>
  <c r="H261" i="46"/>
  <c r="I261" i="46" s="1"/>
  <c r="J261" i="46"/>
  <c r="K261" i="46" s="1"/>
  <c r="G261" i="46"/>
  <c r="J292" i="46"/>
  <c r="K292" i="46" s="1"/>
  <c r="H292" i="46"/>
  <c r="I292" i="46" s="1"/>
  <c r="G292" i="46"/>
  <c r="H323" i="46"/>
  <c r="I323" i="46" s="1"/>
  <c r="J323" i="46"/>
  <c r="K323" i="46" s="1"/>
  <c r="G323" i="46"/>
  <c r="J355" i="46"/>
  <c r="K355" i="46" s="1"/>
  <c r="H355" i="46"/>
  <c r="I355" i="46" s="1"/>
  <c r="G355" i="46"/>
  <c r="H385" i="46"/>
  <c r="I385" i="46" s="1"/>
  <c r="J385" i="46"/>
  <c r="K385" i="46" s="1"/>
  <c r="G385" i="46"/>
  <c r="H95" i="46"/>
  <c r="J95" i="46"/>
  <c r="K95" i="46" s="1"/>
  <c r="G95" i="46"/>
  <c r="H118" i="46"/>
  <c r="I118" i="46" s="1"/>
  <c r="J118" i="46"/>
  <c r="K118" i="46" s="1"/>
  <c r="G118" i="46"/>
  <c r="H52" i="46"/>
  <c r="I52" i="46" s="1"/>
  <c r="J52" i="46"/>
  <c r="K52" i="46" s="1"/>
  <c r="G52" i="46"/>
  <c r="J210" i="46"/>
  <c r="K210" i="46" s="1"/>
  <c r="H210" i="46"/>
  <c r="I210" i="46" s="1"/>
  <c r="G210" i="46"/>
  <c r="J71" i="46"/>
  <c r="K71" i="46" s="1"/>
  <c r="H71" i="46"/>
  <c r="I71" i="46" s="1"/>
  <c r="G71" i="46"/>
  <c r="J68" i="46"/>
  <c r="K68" i="46" s="1"/>
  <c r="H68" i="46"/>
  <c r="I68" i="46" s="1"/>
  <c r="G68" i="46"/>
  <c r="J28" i="46"/>
  <c r="H28" i="46"/>
  <c r="I28" i="46" s="1"/>
  <c r="G28" i="46"/>
  <c r="J84" i="46"/>
  <c r="K84" i="46" s="1"/>
  <c r="H84" i="46"/>
  <c r="I84" i="46" s="1"/>
  <c r="G84" i="46"/>
  <c r="J126" i="46"/>
  <c r="K126" i="46" s="1"/>
  <c r="H126" i="46"/>
  <c r="I126" i="46" s="1"/>
  <c r="G126" i="46"/>
  <c r="J396" i="46"/>
  <c r="K396" i="46" s="1"/>
  <c r="H396" i="46"/>
  <c r="I396" i="46" s="1"/>
  <c r="G396" i="46"/>
  <c r="J334" i="46"/>
  <c r="K334" i="46" s="1"/>
  <c r="H334" i="46"/>
  <c r="I334" i="46" s="1"/>
  <c r="G334" i="46"/>
  <c r="J266" i="46"/>
  <c r="K266" i="46" s="1"/>
  <c r="H266" i="46"/>
  <c r="I266" i="46" s="1"/>
  <c r="G266" i="46"/>
  <c r="J216" i="46"/>
  <c r="K216" i="46" s="1"/>
  <c r="H216" i="46"/>
  <c r="I216" i="46" s="1"/>
  <c r="G216" i="46"/>
  <c r="H191" i="46"/>
  <c r="I191" i="46" s="1"/>
  <c r="J191" i="46"/>
  <c r="K191" i="46" s="1"/>
  <c r="G191" i="46"/>
  <c r="H32" i="46"/>
  <c r="I32" i="46" s="1"/>
  <c r="J32" i="46"/>
  <c r="K32" i="46" s="1"/>
  <c r="G32" i="46"/>
  <c r="J23" i="46"/>
  <c r="K23" i="46" s="1"/>
  <c r="H23" i="46"/>
  <c r="I23" i="46" s="1"/>
  <c r="G23" i="46"/>
  <c r="J112" i="46"/>
  <c r="K112" i="46" s="1"/>
  <c r="H112" i="46"/>
  <c r="I112" i="46" s="1"/>
  <c r="G112" i="46"/>
  <c r="J378" i="46"/>
  <c r="K378" i="46" s="1"/>
  <c r="H378" i="46"/>
  <c r="I378" i="46" s="1"/>
  <c r="G378" i="46"/>
  <c r="J316" i="46"/>
  <c r="K316" i="46" s="1"/>
  <c r="H316" i="46"/>
  <c r="I316" i="46" s="1"/>
  <c r="G316" i="46"/>
  <c r="J231" i="46"/>
  <c r="K231" i="46" s="1"/>
  <c r="H231" i="46"/>
  <c r="I231" i="46" s="1"/>
  <c r="G231" i="46"/>
  <c r="T440" i="40"/>
  <c r="AA436" i="40" s="1"/>
  <c r="T269" i="40"/>
  <c r="AA265" i="40" s="1"/>
  <c r="T98" i="40"/>
  <c r="AA98" i="40" s="1"/>
  <c r="T109" i="40"/>
  <c r="AA109" i="40" s="1"/>
  <c r="T245" i="40"/>
  <c r="AA245" i="40" s="1"/>
  <c r="T361" i="40"/>
  <c r="AA357" i="40" s="1"/>
  <c r="T425" i="40"/>
  <c r="AA421" i="40" s="1"/>
  <c r="T174" i="40"/>
  <c r="AA174" i="40" s="1"/>
  <c r="T328" i="40"/>
  <c r="AA324" i="40" s="1"/>
  <c r="T80" i="40"/>
  <c r="AA80" i="40" s="1"/>
  <c r="T364" i="40"/>
  <c r="AA360" i="40" s="1"/>
  <c r="T190" i="40"/>
  <c r="AA190" i="40" s="1"/>
  <c r="T183" i="40"/>
  <c r="AA183" i="40" s="1"/>
  <c r="T74" i="40"/>
  <c r="AA74" i="40" s="1"/>
  <c r="T435" i="40"/>
  <c r="AA431" i="40" s="1"/>
  <c r="T207" i="40"/>
  <c r="AA207" i="40" s="1"/>
  <c r="T251" i="40"/>
  <c r="AA251" i="40" s="1"/>
  <c r="J31" i="46"/>
  <c r="K31" i="46" s="1"/>
  <c r="H31" i="46"/>
  <c r="I31" i="46" s="1"/>
  <c r="G31" i="46"/>
  <c r="J56" i="46"/>
  <c r="K56" i="46" s="1"/>
  <c r="H56" i="46"/>
  <c r="I56" i="46" s="1"/>
  <c r="G56" i="46"/>
  <c r="J195" i="46"/>
  <c r="K195" i="46" s="1"/>
  <c r="H195" i="46"/>
  <c r="I195" i="46" s="1"/>
  <c r="G195" i="46"/>
  <c r="J40" i="46"/>
  <c r="K40" i="46" s="1"/>
  <c r="H40" i="46"/>
  <c r="I40" i="46" s="1"/>
  <c r="G40" i="46"/>
  <c r="J80" i="46"/>
  <c r="K80" i="46" s="1"/>
  <c r="H80" i="46"/>
  <c r="I80" i="46" s="1"/>
  <c r="G80" i="46"/>
  <c r="J22" i="46"/>
  <c r="K22" i="46" s="1"/>
  <c r="H22" i="46"/>
  <c r="I22" i="46" s="1"/>
  <c r="G22" i="46"/>
  <c r="J392" i="46"/>
  <c r="K392" i="46" s="1"/>
  <c r="H392" i="46"/>
  <c r="I392" i="46" s="1"/>
  <c r="G392" i="46"/>
  <c r="J330" i="46"/>
  <c r="K330" i="46" s="1"/>
  <c r="H330" i="46"/>
  <c r="I330" i="46" s="1"/>
  <c r="G330" i="46"/>
  <c r="J154" i="46"/>
  <c r="K154" i="46" s="1"/>
  <c r="H154" i="46"/>
  <c r="I154" i="46" s="1"/>
  <c r="G154" i="46"/>
  <c r="J203" i="46"/>
  <c r="K203" i="46" s="1"/>
  <c r="H203" i="46"/>
  <c r="I203" i="46" s="1"/>
  <c r="G203" i="46"/>
  <c r="J184" i="46"/>
  <c r="K184" i="46" s="1"/>
  <c r="H184" i="46"/>
  <c r="I184" i="46" s="1"/>
  <c r="G184" i="46"/>
  <c r="J55" i="46"/>
  <c r="K55" i="46" s="1"/>
  <c r="H55" i="46"/>
  <c r="I55" i="46" s="1"/>
  <c r="G55" i="46"/>
  <c r="J51" i="46"/>
  <c r="K51" i="46" s="1"/>
  <c r="H51" i="46"/>
  <c r="G51" i="46"/>
  <c r="J94" i="46"/>
  <c r="K94" i="46" s="1"/>
  <c r="H94" i="46"/>
  <c r="I94" i="46" s="1"/>
  <c r="G94" i="46"/>
  <c r="J354" i="46"/>
  <c r="K354" i="46" s="1"/>
  <c r="H354" i="46"/>
  <c r="I354" i="46" s="1"/>
  <c r="G354" i="46"/>
  <c r="H179" i="46"/>
  <c r="I179" i="46" s="1"/>
  <c r="J179" i="46"/>
  <c r="N8" i="46" s="1"/>
  <c r="G179" i="46"/>
  <c r="J91" i="46"/>
  <c r="H91" i="46"/>
  <c r="I91" i="46" s="1"/>
  <c r="G91" i="46"/>
  <c r="J243" i="46"/>
  <c r="K243" i="46" s="1"/>
  <c r="H243" i="46"/>
  <c r="I243" i="46" s="1"/>
  <c r="G243" i="46"/>
  <c r="J58" i="46"/>
  <c r="K58" i="46" s="1"/>
  <c r="H58" i="46"/>
  <c r="I58" i="46" s="1"/>
  <c r="G58" i="46"/>
  <c r="J320" i="46"/>
  <c r="K320" i="46" s="1"/>
  <c r="H320" i="46"/>
  <c r="I320" i="46" s="1"/>
  <c r="G320" i="46"/>
  <c r="J259" i="46"/>
  <c r="K259" i="46" s="1"/>
  <c r="H259" i="46"/>
  <c r="I259" i="46" s="1"/>
  <c r="G259" i="46"/>
  <c r="J321" i="46"/>
  <c r="K321" i="46" s="1"/>
  <c r="H321" i="46"/>
  <c r="I321" i="46" s="1"/>
  <c r="G321" i="46"/>
  <c r="J383" i="46"/>
  <c r="K383" i="46" s="1"/>
  <c r="H383" i="46"/>
  <c r="I383" i="46" s="1"/>
  <c r="G383" i="46"/>
  <c r="H106" i="46"/>
  <c r="I106" i="46" s="1"/>
  <c r="J106" i="46"/>
  <c r="K106" i="46" s="1"/>
  <c r="G106" i="46"/>
  <c r="H137" i="46"/>
  <c r="I137" i="46" s="1"/>
  <c r="J137" i="46"/>
  <c r="K137" i="46" s="1"/>
  <c r="G137" i="46"/>
  <c r="J229" i="46"/>
  <c r="K229" i="46" s="1"/>
  <c r="H229" i="46"/>
  <c r="I229" i="46" s="1"/>
  <c r="G229" i="46"/>
  <c r="J226" i="46"/>
  <c r="K226" i="46" s="1"/>
  <c r="H226" i="46"/>
  <c r="I226" i="46" s="1"/>
  <c r="G226" i="46"/>
  <c r="J289" i="46"/>
  <c r="K289" i="46" s="1"/>
  <c r="H289" i="46"/>
  <c r="I289" i="46" s="1"/>
  <c r="G289" i="46"/>
  <c r="H351" i="46"/>
  <c r="I351" i="46" s="1"/>
  <c r="J351" i="46"/>
  <c r="K351" i="46" s="1"/>
  <c r="G351" i="46"/>
  <c r="J92" i="46"/>
  <c r="K92" i="46" s="1"/>
  <c r="H92" i="46"/>
  <c r="I92" i="46" s="1"/>
  <c r="G92" i="46"/>
  <c r="J35" i="46"/>
  <c r="K35" i="46" s="1"/>
  <c r="H35" i="46"/>
  <c r="G35" i="46"/>
  <c r="J16" i="46"/>
  <c r="K16" i="46" s="1"/>
  <c r="H16" i="46"/>
  <c r="I16" i="46" s="1"/>
  <c r="G16" i="46"/>
  <c r="J73" i="46"/>
  <c r="K73" i="46" s="1"/>
  <c r="H73" i="46"/>
  <c r="I73" i="46" s="1"/>
  <c r="G73" i="46"/>
  <c r="J150" i="46"/>
  <c r="K150" i="46" s="1"/>
  <c r="H150" i="46"/>
  <c r="I150" i="46" s="1"/>
  <c r="G150" i="46"/>
  <c r="J342" i="46"/>
  <c r="K342" i="46" s="1"/>
  <c r="H342" i="46"/>
  <c r="I342" i="46" s="1"/>
  <c r="G342" i="46"/>
  <c r="J43" i="46"/>
  <c r="K43" i="46" s="1"/>
  <c r="H43" i="46"/>
  <c r="I43" i="46" s="1"/>
  <c r="G43" i="46"/>
  <c r="J185" i="46"/>
  <c r="K185" i="46" s="1"/>
  <c r="H185" i="46"/>
  <c r="I185" i="46" s="1"/>
  <c r="G185" i="46"/>
  <c r="J138" i="46"/>
  <c r="K138" i="46" s="1"/>
  <c r="H138" i="46"/>
  <c r="I138" i="46" s="1"/>
  <c r="G138" i="46"/>
  <c r="J356" i="46"/>
  <c r="K356" i="46" s="1"/>
  <c r="H356" i="46"/>
  <c r="I356" i="46" s="1"/>
  <c r="G356" i="46"/>
  <c r="J247" i="46"/>
  <c r="K247" i="46" s="1"/>
  <c r="H247" i="46"/>
  <c r="I247" i="46" s="1"/>
  <c r="G247" i="46"/>
  <c r="J74" i="46"/>
  <c r="K74" i="46" s="1"/>
  <c r="H74" i="46"/>
  <c r="I74" i="46" s="1"/>
  <c r="G74" i="46"/>
  <c r="H175" i="46"/>
  <c r="I175" i="46" s="1"/>
  <c r="J175" i="46"/>
  <c r="K175" i="46" s="1"/>
  <c r="G175" i="46"/>
  <c r="J122" i="46"/>
  <c r="K122" i="46" s="1"/>
  <c r="H122" i="46"/>
  <c r="I122" i="46" s="1"/>
  <c r="G122" i="46"/>
  <c r="J390" i="46"/>
  <c r="K390" i="46" s="1"/>
  <c r="H390" i="46"/>
  <c r="I390" i="46" s="1"/>
  <c r="G390" i="46"/>
  <c r="J328" i="46"/>
  <c r="K328" i="46" s="1"/>
  <c r="H328" i="46"/>
  <c r="I328" i="46" s="1"/>
  <c r="G328" i="46"/>
  <c r="J255" i="46"/>
  <c r="K255" i="46" s="1"/>
  <c r="H255" i="46"/>
  <c r="I255" i="46" s="1"/>
  <c r="G255" i="46"/>
  <c r="J240" i="46"/>
  <c r="K240" i="46" s="1"/>
  <c r="H240" i="46"/>
  <c r="I240" i="46" s="1"/>
  <c r="G240" i="46"/>
  <c r="J271" i="46"/>
  <c r="K271" i="46" s="1"/>
  <c r="H271" i="46"/>
  <c r="I271" i="46" s="1"/>
  <c r="G271" i="46"/>
  <c r="J302" i="46"/>
  <c r="K302" i="46" s="1"/>
  <c r="H302" i="46"/>
  <c r="I302" i="46" s="1"/>
  <c r="G302" i="46"/>
  <c r="J333" i="46"/>
  <c r="K333" i="46" s="1"/>
  <c r="H333" i="46"/>
  <c r="I333" i="46" s="1"/>
  <c r="G333" i="46"/>
  <c r="J365" i="46"/>
  <c r="K365" i="46" s="1"/>
  <c r="H365" i="46"/>
  <c r="I365" i="46" s="1"/>
  <c r="G365" i="46"/>
  <c r="J395" i="46"/>
  <c r="K395" i="46" s="1"/>
  <c r="H395" i="46"/>
  <c r="I395" i="46" s="1"/>
  <c r="G395" i="46"/>
  <c r="J113" i="46"/>
  <c r="K113" i="46" s="1"/>
  <c r="H113" i="46"/>
  <c r="I113" i="46" s="1"/>
  <c r="G113" i="46"/>
  <c r="J54" i="46"/>
  <c r="K54" i="46" s="1"/>
  <c r="H54" i="46"/>
  <c r="G54" i="46"/>
  <c r="J153" i="46"/>
  <c r="K153" i="46" s="1"/>
  <c r="H153" i="46"/>
  <c r="I153" i="46" s="1"/>
  <c r="G153" i="46"/>
  <c r="J225" i="46"/>
  <c r="K225" i="46" s="1"/>
  <c r="H225" i="46"/>
  <c r="I225" i="46" s="1"/>
  <c r="G225" i="46"/>
  <c r="J272" i="46"/>
  <c r="K272" i="46" s="1"/>
  <c r="H272" i="46"/>
  <c r="I272" i="46" s="1"/>
  <c r="G272" i="46"/>
  <c r="H254" i="46"/>
  <c r="I254" i="46" s="1"/>
  <c r="J254" i="46"/>
  <c r="K254" i="46" s="1"/>
  <c r="G254" i="46"/>
  <c r="H315" i="46"/>
  <c r="I315" i="46" s="1"/>
  <c r="J315" i="46"/>
  <c r="K315" i="46" s="1"/>
  <c r="G315" i="46"/>
  <c r="J377" i="46"/>
  <c r="K377" i="46" s="1"/>
  <c r="H377" i="46"/>
  <c r="I377" i="46" s="1"/>
  <c r="G377" i="46"/>
  <c r="H142" i="46"/>
  <c r="I142" i="46" s="1"/>
  <c r="J142" i="46"/>
  <c r="K142" i="46" s="1"/>
  <c r="G142" i="46"/>
  <c r="J202" i="46"/>
  <c r="K202" i="46" s="1"/>
  <c r="H202" i="46"/>
  <c r="I202" i="46" s="1"/>
  <c r="G202" i="46"/>
  <c r="J47" i="46"/>
  <c r="K47" i="46" s="1"/>
  <c r="H47" i="46"/>
  <c r="I47" i="46" s="1"/>
  <c r="G47" i="46"/>
  <c r="J114" i="46"/>
  <c r="K114" i="46" s="1"/>
  <c r="H114" i="46"/>
  <c r="I114" i="46" s="1"/>
  <c r="G114" i="46"/>
  <c r="J318" i="46"/>
  <c r="K318" i="46" s="1"/>
  <c r="H318" i="46"/>
  <c r="I318" i="46" s="1"/>
  <c r="G318" i="46"/>
  <c r="J48" i="46"/>
  <c r="K48" i="46" s="1"/>
  <c r="H48" i="46"/>
  <c r="I48" i="46" s="1"/>
  <c r="G48" i="46"/>
  <c r="H176" i="46"/>
  <c r="I176" i="46" s="1"/>
  <c r="J176" i="46"/>
  <c r="K176" i="46" s="1"/>
  <c r="G176" i="46"/>
  <c r="J125" i="46"/>
  <c r="K125" i="46" s="1"/>
  <c r="H125" i="46"/>
  <c r="I125" i="46" s="1"/>
  <c r="G125" i="46"/>
  <c r="J332" i="46"/>
  <c r="K332" i="46" s="1"/>
  <c r="H332" i="46"/>
  <c r="I332" i="46" s="1"/>
  <c r="G332" i="46"/>
  <c r="AA249" i="40"/>
  <c r="AA185" i="40"/>
  <c r="AA85" i="40"/>
  <c r="AA427" i="40"/>
  <c r="AA363" i="40"/>
  <c r="AA281" i="40"/>
  <c r="AA115" i="40"/>
  <c r="AA100" i="40"/>
  <c r="AA392" i="40"/>
  <c r="AA440" i="40"/>
  <c r="AA165" i="40"/>
  <c r="AA220" i="40"/>
  <c r="AA233" i="40"/>
  <c r="AA83" i="40"/>
  <c r="AA393" i="40"/>
  <c r="AA329" i="40"/>
  <c r="AA266" i="40"/>
  <c r="AA298" i="40"/>
  <c r="AA330" i="40"/>
  <c r="AA362" i="40"/>
  <c r="AA426" i="40"/>
  <c r="AA52" i="40"/>
  <c r="AA116" i="40"/>
  <c r="AA264" i="40"/>
  <c r="F396" i="40"/>
  <c r="AA212" i="40"/>
  <c r="AA217" i="40"/>
  <c r="AA169" i="40"/>
  <c r="AA117" i="40"/>
  <c r="AA53" i="40"/>
  <c r="AA395" i="40"/>
  <c r="AA331" i="40"/>
  <c r="AA236" i="40"/>
  <c r="AA51" i="40"/>
  <c r="AA68" i="40"/>
  <c r="AA132" i="40"/>
  <c r="AA283" i="40"/>
  <c r="AA408" i="40"/>
  <c r="AA229" i="40"/>
  <c r="AA141" i="40"/>
  <c r="AA451" i="40"/>
  <c r="AA323" i="40"/>
  <c r="AA417" i="40"/>
  <c r="AA353" i="40"/>
  <c r="AA147" i="40"/>
  <c r="AA201" i="40"/>
  <c r="AA172" i="40"/>
  <c r="AA361" i="40"/>
  <c r="AA277" i="40"/>
  <c r="AA314" i="40"/>
  <c r="AA346" i="40"/>
  <c r="AA378" i="40"/>
  <c r="AA410" i="40"/>
  <c r="AA442" i="40"/>
  <c r="AA84" i="40"/>
  <c r="AA148" i="40"/>
  <c r="AA376" i="40"/>
  <c r="AA286" i="40"/>
  <c r="AA414" i="40"/>
  <c r="AA287" i="40"/>
  <c r="AA268" i="40"/>
  <c r="AA300" i="40"/>
  <c r="AA332" i="40"/>
  <c r="AA364" i="40"/>
  <c r="AA396" i="40"/>
  <c r="AA129" i="40"/>
  <c r="AA407" i="40"/>
  <c r="AA343" i="40"/>
  <c r="AA250" i="40"/>
  <c r="AA389" i="40"/>
  <c r="AA290" i="40"/>
  <c r="AA140" i="40"/>
  <c r="AA291" i="40"/>
  <c r="AA57" i="40"/>
  <c r="AA335" i="40"/>
  <c r="AA333" i="40"/>
  <c r="AA173" i="40"/>
  <c r="AA339" i="40"/>
  <c r="AA390" i="40"/>
  <c r="AA454" i="40"/>
  <c r="AA263" i="40"/>
  <c r="AA388" i="40"/>
  <c r="AA113" i="40"/>
  <c r="AA391" i="40"/>
  <c r="AA405" i="40"/>
  <c r="AA285" i="40"/>
  <c r="AA70" i="40"/>
  <c r="AA230" i="40"/>
  <c r="AA166" i="40"/>
  <c r="AA153" i="40"/>
  <c r="AA302" i="40"/>
  <c r="AA152" i="40"/>
  <c r="AA239" i="40"/>
  <c r="AA453" i="40"/>
  <c r="AA209" i="40"/>
  <c r="AA133" i="40"/>
  <c r="AA441" i="40"/>
  <c r="AA309" i="40"/>
  <c r="AA370" i="40"/>
  <c r="AA434" i="40"/>
  <c r="AA304" i="40"/>
  <c r="AA368" i="40"/>
  <c r="AA432" i="40"/>
  <c r="AA151" i="40"/>
  <c r="AA289" i="40"/>
  <c r="AA349" i="40"/>
  <c r="AA351" i="40"/>
  <c r="AA369" i="40"/>
  <c r="AA278" i="40"/>
  <c r="AA279" i="40"/>
  <c r="AA105" i="40"/>
  <c r="AA114" i="40"/>
  <c r="AA86" i="40"/>
  <c r="AA240" i="40"/>
  <c r="AA382" i="40"/>
  <c r="AA446" i="40"/>
  <c r="AA271" i="40"/>
  <c r="AA303" i="40"/>
  <c r="AA284" i="40"/>
  <c r="AA316" i="40"/>
  <c r="AA348" i="40"/>
  <c r="AA380" i="40"/>
  <c r="AA412" i="40"/>
  <c r="AA444" i="40"/>
  <c r="AA157" i="40"/>
  <c r="AA439" i="40"/>
  <c r="AA375" i="40"/>
  <c r="AA305" i="40"/>
  <c r="AA379" i="40"/>
  <c r="AA259" i="40"/>
  <c r="AA455" i="40"/>
  <c r="AA317" i="40"/>
  <c r="AA294" i="40"/>
  <c r="AA358" i="40"/>
  <c r="AA144" i="40"/>
  <c r="AA295" i="40"/>
  <c r="AA292" i="40"/>
  <c r="AA356" i="40"/>
  <c r="AA78" i="40"/>
  <c r="AA327" i="40"/>
  <c r="AA238" i="40"/>
  <c r="AA73" i="40"/>
  <c r="AA66" i="40"/>
  <c r="AA130" i="40"/>
  <c r="AA102" i="40"/>
  <c r="AA198" i="40"/>
  <c r="AA111" i="40"/>
  <c r="AA270" i="40"/>
  <c r="AA334" i="40"/>
  <c r="AA325" i="40"/>
  <c r="AA338" i="40"/>
  <c r="AA402" i="40"/>
  <c r="AA272" i="40"/>
  <c r="AA400" i="40"/>
  <c r="AA189" i="40"/>
  <c r="AA93" i="40"/>
  <c r="AA310" i="40"/>
  <c r="AA374" i="40"/>
  <c r="AA311" i="40"/>
  <c r="AA423" i="40"/>
  <c r="AA301" i="40"/>
  <c r="AA54" i="40"/>
  <c r="AA223" i="40"/>
  <c r="AA182" i="40"/>
  <c r="AA79" i="40"/>
  <c r="F327" i="40"/>
  <c r="F290" i="40"/>
  <c r="F308" i="40"/>
  <c r="F436" i="40"/>
  <c r="T225" i="40"/>
  <c r="AA225" i="40" s="1"/>
  <c r="T413" i="40"/>
  <c r="AA409" i="40" s="1"/>
  <c r="T214" i="40"/>
  <c r="AA214" i="40" s="1"/>
  <c r="T330" i="40"/>
  <c r="AA326" i="40" s="1"/>
  <c r="T137" i="40"/>
  <c r="AA137" i="40" s="1"/>
  <c r="T265" i="40"/>
  <c r="AA261" i="40" s="1"/>
  <c r="T143" i="40"/>
  <c r="AA143" i="40" s="1"/>
  <c r="T284" i="40"/>
  <c r="AA280" i="40" s="1"/>
  <c r="T231" i="40"/>
  <c r="AA231" i="40" s="1"/>
  <c r="T128" i="40"/>
  <c r="AA128" i="40" s="1"/>
  <c r="T188" i="40"/>
  <c r="AA188" i="40" s="1"/>
  <c r="T145" i="40"/>
  <c r="AA145" i="40" s="1"/>
  <c r="T439" i="40"/>
  <c r="AA435" i="40" s="1"/>
  <c r="T434" i="40"/>
  <c r="AA430" i="40" s="1"/>
  <c r="T402" i="40"/>
  <c r="AA398" i="40" s="1"/>
  <c r="T221" i="40"/>
  <c r="AA221" i="40" s="1"/>
  <c r="F209" i="40"/>
  <c r="F404" i="40"/>
  <c r="T82" i="40"/>
  <c r="AA82" i="40" s="1"/>
  <c r="T146" i="40"/>
  <c r="AA146" i="40" s="1"/>
  <c r="F418" i="40"/>
  <c r="F372" i="40"/>
  <c r="T208" i="40"/>
  <c r="AA208" i="40" s="1"/>
  <c r="T162" i="40"/>
  <c r="AA162" i="40" s="1"/>
  <c r="T246" i="40"/>
  <c r="AA246" i="40" s="1"/>
  <c r="T410" i="40"/>
  <c r="AA406" i="40" s="1"/>
  <c r="T121" i="40"/>
  <c r="AA121" i="40" s="1"/>
  <c r="T181" i="40"/>
  <c r="AA181" i="40" s="1"/>
  <c r="T62" i="40"/>
  <c r="AA62" i="40" s="1"/>
  <c r="T340" i="40"/>
  <c r="AA336" i="40" s="1"/>
  <c r="T363" i="40"/>
  <c r="AA359" i="40" s="1"/>
  <c r="T222" i="40"/>
  <c r="AA222" i="40" s="1"/>
  <c r="T107" i="40"/>
  <c r="AA107" i="40" s="1"/>
  <c r="T123" i="40"/>
  <c r="AA123" i="40" s="1"/>
  <c r="F455" i="40"/>
  <c r="T241" i="40"/>
  <c r="AA241" i="40" s="1"/>
  <c r="T317" i="40"/>
  <c r="AA313" i="40" s="1"/>
  <c r="T266" i="40"/>
  <c r="AA262" i="40" s="1"/>
  <c r="T195" i="40"/>
  <c r="AA195" i="40" s="1"/>
  <c r="T456" i="40"/>
  <c r="AA452" i="40" s="1"/>
  <c r="T388" i="40"/>
  <c r="AA384" i="40" s="1"/>
  <c r="T125" i="40"/>
  <c r="AA125" i="40" s="1"/>
  <c r="T375" i="40"/>
  <c r="AA371" i="40" s="1"/>
  <c r="G428" i="40"/>
  <c r="T370" i="40"/>
  <c r="AA366" i="40" s="1"/>
  <c r="T120" i="40"/>
  <c r="AA120" i="40" s="1"/>
  <c r="T171" i="40"/>
  <c r="AA171" i="40" s="1"/>
  <c r="F171" i="40"/>
  <c r="T167" i="40"/>
  <c r="AA167" i="40" s="1"/>
  <c r="F167" i="40"/>
  <c r="F199" i="40"/>
  <c r="F386" i="40"/>
  <c r="F450" i="40"/>
  <c r="F133" i="40"/>
  <c r="F445" i="40"/>
  <c r="F313" i="40"/>
  <c r="F342" i="40"/>
  <c r="F374" i="40"/>
  <c r="F406" i="40"/>
  <c r="F57" i="40"/>
  <c r="F339" i="40"/>
  <c r="F321" i="40"/>
  <c r="F355" i="40"/>
  <c r="F373" i="40"/>
  <c r="F282" i="40"/>
  <c r="F378" i="40"/>
  <c r="F305" i="40"/>
  <c r="F73" i="40"/>
  <c r="F93" i="40"/>
  <c r="F283" i="40"/>
  <c r="F315" i="40"/>
  <c r="F113" i="40"/>
  <c r="F395" i="40"/>
  <c r="F331" i="40"/>
  <c r="T193" i="40"/>
  <c r="AA193" i="40" s="1"/>
  <c r="T95" i="40"/>
  <c r="AA95" i="40" s="1"/>
  <c r="T94" i="40"/>
  <c r="AA94" i="40" s="1"/>
  <c r="T326" i="40"/>
  <c r="AA322" i="40" s="1"/>
  <c r="T199" i="40"/>
  <c r="AA199" i="40" s="1"/>
  <c r="T228" i="40"/>
  <c r="AA228" i="40" s="1"/>
  <c r="T61" i="40"/>
  <c r="AA61" i="40" s="1"/>
  <c r="T254" i="40"/>
  <c r="AA254" i="40" s="1"/>
  <c r="T90" i="40"/>
  <c r="AA90" i="40" s="1"/>
  <c r="T71" i="40"/>
  <c r="AA71" i="40" s="1"/>
  <c r="T136" i="40"/>
  <c r="AA136" i="40" s="1"/>
  <c r="F136" i="40"/>
  <c r="T55" i="40"/>
  <c r="AA55" i="40" s="1"/>
  <c r="F55" i="40"/>
  <c r="T192" i="40"/>
  <c r="AA192" i="40" s="1"/>
  <c r="F192" i="40"/>
  <c r="T67" i="40"/>
  <c r="AA67" i="40" s="1"/>
  <c r="F67" i="40"/>
  <c r="T244" i="40"/>
  <c r="AA244" i="40" s="1"/>
  <c r="F244" i="40"/>
  <c r="T194" i="40"/>
  <c r="AA194" i="40" s="1"/>
  <c r="F194" i="40"/>
  <c r="T452" i="40"/>
  <c r="AA448" i="40" s="1"/>
  <c r="E516" i="40"/>
  <c r="G516" i="40" s="1"/>
  <c r="I516" i="40" s="1"/>
  <c r="T253" i="40"/>
  <c r="AA253" i="40" s="1"/>
  <c r="F253" i="40"/>
  <c r="F238" i="40"/>
  <c r="T234" i="40"/>
  <c r="AA234" i="40" s="1"/>
  <c r="F234" i="40"/>
  <c r="G260" i="40"/>
  <c r="F60" i="40"/>
  <c r="T58" i="40"/>
  <c r="AA58" i="40" s="1"/>
  <c r="F58" i="40"/>
  <c r="F153" i="40"/>
  <c r="F274" i="40"/>
  <c r="F306" i="40"/>
  <c r="F338" i="40"/>
  <c r="F294" i="40"/>
  <c r="F353" i="40"/>
  <c r="F337" i="40"/>
  <c r="F189" i="40"/>
  <c r="F298" i="40"/>
  <c r="F362" i="40"/>
  <c r="F426" i="40"/>
  <c r="F105" i="40"/>
  <c r="T179" i="40"/>
  <c r="AA179" i="40" s="1"/>
  <c r="F179" i="40"/>
  <c r="T196" i="40"/>
  <c r="AA196" i="40" s="1"/>
  <c r="F196" i="40"/>
  <c r="G310" i="40"/>
  <c r="G422" i="40"/>
  <c r="T226" i="40"/>
  <c r="AA226" i="40" s="1"/>
  <c r="F226" i="40"/>
  <c r="G314" i="40"/>
  <c r="T150" i="40"/>
  <c r="AA150" i="40" s="1"/>
  <c r="F150" i="40"/>
  <c r="F138" i="40"/>
  <c r="F151" i="40"/>
  <c r="T59" i="40"/>
  <c r="AA59" i="40" s="1"/>
  <c r="F59" i="40"/>
  <c r="F276" i="40"/>
  <c r="T324" i="40"/>
  <c r="AA320" i="40" s="1"/>
  <c r="T178" i="40"/>
  <c r="AA178" i="40" s="1"/>
  <c r="T110" i="40"/>
  <c r="AA110" i="40" s="1"/>
  <c r="T218" i="40"/>
  <c r="AA218" i="40" s="1"/>
  <c r="T63" i="40"/>
  <c r="AA63" i="40" s="1"/>
  <c r="T264" i="40"/>
  <c r="AA260" i="40" s="1"/>
  <c r="T348" i="40"/>
  <c r="AA344" i="40" s="1"/>
  <c r="T96" i="40"/>
  <c r="AA96" i="40" s="1"/>
  <c r="T76" i="40"/>
  <c r="AA76" i="40" s="1"/>
  <c r="T122" i="40"/>
  <c r="AA122" i="40" s="1"/>
  <c r="T311" i="40"/>
  <c r="AA307" i="40" s="1"/>
  <c r="T243" i="40"/>
  <c r="AA243" i="40" s="1"/>
  <c r="F243" i="40"/>
  <c r="T119" i="40"/>
  <c r="AA119" i="40" s="1"/>
  <c r="T170" i="40"/>
  <c r="AA170" i="40" s="1"/>
  <c r="T211" i="40"/>
  <c r="AA211" i="40" s="1"/>
  <c r="T104" i="40"/>
  <c r="AA104" i="40" s="1"/>
  <c r="T224" i="40"/>
  <c r="AA224" i="40" s="1"/>
  <c r="F224" i="40"/>
  <c r="T242" i="40"/>
  <c r="AA242" i="40" s="1"/>
  <c r="F242" i="40"/>
  <c r="T215" i="40"/>
  <c r="AA215" i="40" s="1"/>
  <c r="F215" i="40"/>
  <c r="T154" i="40"/>
  <c r="AA154" i="40" s="1"/>
  <c r="F154" i="40"/>
  <c r="T252" i="40"/>
  <c r="AA252" i="40" s="1"/>
  <c r="F252" i="40"/>
  <c r="T160" i="40"/>
  <c r="AA160" i="40" s="1"/>
  <c r="F160" i="40"/>
  <c r="T216" i="40"/>
  <c r="AA216" i="40" s="1"/>
  <c r="F216" i="40"/>
  <c r="T87" i="40"/>
  <c r="AA87" i="40" s="1"/>
  <c r="F87" i="40"/>
  <c r="E543" i="40"/>
  <c r="G543" i="40" s="1"/>
  <c r="I543" i="40" s="1"/>
  <c r="T112" i="40"/>
  <c r="AA112" i="40" s="1"/>
  <c r="F112" i="40"/>
  <c r="G351" i="40"/>
  <c r="G349" i="40"/>
  <c r="T248" i="40"/>
  <c r="AA248" i="40" s="1"/>
  <c r="F248" i="40"/>
  <c r="F287" i="40"/>
  <c r="F380" i="40"/>
  <c r="F412" i="40"/>
  <c r="F444" i="40"/>
  <c r="F141" i="40"/>
  <c r="F459" i="40"/>
  <c r="F324" i="40"/>
  <c r="F343" i="40"/>
  <c r="F267" i="40"/>
  <c r="H267" i="40" s="1"/>
  <c r="F299" i="40"/>
  <c r="F296" i="40"/>
  <c r="F360" i="40"/>
  <c r="F392" i="40"/>
  <c r="F289" i="40"/>
  <c r="T428" i="40"/>
  <c r="AA424" i="40" s="1"/>
  <c r="T89" i="40"/>
  <c r="AA89" i="40" s="1"/>
  <c r="T426" i="40"/>
  <c r="AA422" i="40" s="1"/>
  <c r="T126" i="40"/>
  <c r="AA126" i="40" s="1"/>
  <c r="T219" i="40"/>
  <c r="AA219" i="40" s="1"/>
  <c r="T60" i="40"/>
  <c r="AA60" i="40" s="1"/>
  <c r="T106" i="40"/>
  <c r="AA106" i="40" s="1"/>
  <c r="T101" i="40"/>
  <c r="AA101" i="40" s="1"/>
  <c r="T103" i="40"/>
  <c r="AA103" i="40" s="1"/>
  <c r="T349" i="40"/>
  <c r="AA345" i="40" s="1"/>
  <c r="T279" i="40"/>
  <c r="AA275" i="40" s="1"/>
  <c r="G92" i="40"/>
  <c r="T442" i="40"/>
  <c r="AA438" i="40" s="1"/>
  <c r="T419" i="40"/>
  <c r="AA415" i="40" s="1"/>
  <c r="T401" i="40"/>
  <c r="AA397" i="40" s="1"/>
  <c r="E593" i="40"/>
  <c r="G593" i="40" s="1"/>
  <c r="I593" i="40" s="1"/>
  <c r="T387" i="40"/>
  <c r="AA383" i="40" s="1"/>
  <c r="E579" i="40"/>
  <c r="G579" i="40" s="1"/>
  <c r="I579" i="40" s="1"/>
  <c r="T210" i="40"/>
  <c r="AA210" i="40" s="1"/>
  <c r="G210" i="40"/>
  <c r="T417" i="40"/>
  <c r="AA413" i="40" s="1"/>
  <c r="G417" i="40"/>
  <c r="T415" i="40"/>
  <c r="AA411" i="40" s="1"/>
  <c r="G415" i="40"/>
  <c r="T204" i="40"/>
  <c r="AA204" i="40" s="1"/>
  <c r="G204" i="40"/>
  <c r="T56" i="40"/>
  <c r="AA56" i="40" s="1"/>
  <c r="G56" i="40"/>
  <c r="T369" i="40"/>
  <c r="AA365" i="40" s="1"/>
  <c r="G369" i="40"/>
  <c r="T99" i="40"/>
  <c r="AA99" i="40" s="1"/>
  <c r="T359" i="40"/>
  <c r="AA355" i="40" s="1"/>
  <c r="E551" i="40"/>
  <c r="G551" i="40" s="1"/>
  <c r="I551" i="40" s="1"/>
  <c r="T260" i="40"/>
  <c r="AA256" i="40" s="1"/>
  <c r="T310" i="40"/>
  <c r="AA306" i="40" s="1"/>
  <c r="T390" i="40"/>
  <c r="AA386" i="40" s="1"/>
  <c r="T159" i="40"/>
  <c r="AA159" i="40" s="1"/>
  <c r="T344" i="40"/>
  <c r="AA340" i="40" s="1"/>
  <c r="T138" i="40"/>
  <c r="AA138" i="40" s="1"/>
  <c r="T451" i="40"/>
  <c r="AA447" i="40" s="1"/>
  <c r="G451" i="40"/>
  <c r="T186" i="40"/>
  <c r="AA186" i="40" s="1"/>
  <c r="T88" i="40"/>
  <c r="AA88" i="40" s="1"/>
  <c r="T433" i="40"/>
  <c r="AA429" i="40" s="1"/>
  <c r="G433" i="40"/>
  <c r="T449" i="40"/>
  <c r="AA445" i="40" s="1"/>
  <c r="T385" i="40"/>
  <c r="AA381" i="40" s="1"/>
  <c r="E577" i="40"/>
  <c r="G577" i="40" s="1"/>
  <c r="I577" i="40" s="1"/>
  <c r="T454" i="40"/>
  <c r="AA450" i="40" s="1"/>
  <c r="G454" i="40"/>
  <c r="T403" i="40"/>
  <c r="AA399" i="40" s="1"/>
  <c r="G403" i="40"/>
  <c r="T237" i="40"/>
  <c r="AA237" i="40" s="1"/>
  <c r="G237" i="40"/>
  <c r="T205" i="40"/>
  <c r="AA205" i="40" s="1"/>
  <c r="T345" i="40"/>
  <c r="AA341" i="40" s="1"/>
  <c r="G345" i="40"/>
  <c r="E521" i="40"/>
  <c r="G521" i="40" s="1"/>
  <c r="I521" i="40" s="1"/>
  <c r="T77" i="40"/>
  <c r="AA77" i="40" s="1"/>
  <c r="G77" i="40"/>
  <c r="T91" i="40"/>
  <c r="AA91" i="40" s="1"/>
  <c r="G91" i="40"/>
  <c r="T405" i="40"/>
  <c r="AA401" i="40" s="1"/>
  <c r="G405" i="40"/>
  <c r="T232" i="40"/>
  <c r="AA232" i="40" s="1"/>
  <c r="T420" i="40"/>
  <c r="AA416" i="40" s="1"/>
  <c r="T261" i="40"/>
  <c r="AA257" i="40" s="1"/>
  <c r="E493" i="40"/>
  <c r="G493" i="40" s="1"/>
  <c r="I493" i="40" s="1"/>
  <c r="T346" i="40"/>
  <c r="AA342" i="40" s="1"/>
  <c r="T158" i="40"/>
  <c r="AA158" i="40" s="1"/>
  <c r="T422" i="40"/>
  <c r="AA418" i="40" s="1"/>
  <c r="T316" i="40"/>
  <c r="AA312" i="40" s="1"/>
  <c r="T423" i="40"/>
  <c r="AA419" i="40" s="1"/>
  <c r="T322" i="40"/>
  <c r="AA318" i="40" s="1"/>
  <c r="G322" i="40"/>
  <c r="T391" i="40"/>
  <c r="AA387" i="40" s="1"/>
  <c r="T75" i="40"/>
  <c r="AA75" i="40" s="1"/>
  <c r="G75" i="40"/>
  <c r="T319" i="40"/>
  <c r="AA315" i="40" s="1"/>
  <c r="G319" i="40"/>
  <c r="T323" i="40"/>
  <c r="AA319" i="40" s="1"/>
  <c r="E531" i="40"/>
  <c r="G531" i="40" s="1"/>
  <c r="I531" i="40" s="1"/>
  <c r="T262" i="40"/>
  <c r="AA258" i="40" s="1"/>
  <c r="T131" i="40"/>
  <c r="AA131" i="40" s="1"/>
  <c r="T161" i="40"/>
  <c r="AA161" i="40" s="1"/>
  <c r="G161" i="40"/>
  <c r="T371" i="40"/>
  <c r="AA367" i="40" s="1"/>
  <c r="E563" i="40"/>
  <c r="G563" i="40" s="1"/>
  <c r="I563" i="40" s="1"/>
  <c r="T163" i="40"/>
  <c r="AA163" i="40" s="1"/>
  <c r="G163" i="40"/>
  <c r="T278" i="40"/>
  <c r="AA274" i="40" s="1"/>
  <c r="G278" i="40"/>
  <c r="T168" i="40"/>
  <c r="AA168" i="40" s="1"/>
  <c r="T277" i="40"/>
  <c r="AA273" i="40" s="1"/>
  <c r="E502" i="40"/>
  <c r="G502" i="40" s="1"/>
  <c r="I502" i="40" s="1"/>
  <c r="T424" i="40"/>
  <c r="AA420" i="40" s="1"/>
  <c r="G424" i="40"/>
  <c r="G280" i="40"/>
  <c r="G69" i="40"/>
  <c r="T303" i="40"/>
  <c r="AA299" i="40" s="1"/>
  <c r="H15" i="39"/>
  <c r="I15" i="39" s="1"/>
  <c r="D7" i="39"/>
  <c r="E7" i="39" s="1"/>
  <c r="D77" i="41"/>
  <c r="E77" i="41" s="1"/>
  <c r="I18" i="40"/>
  <c r="J18" i="40" s="1"/>
  <c r="F79" i="41"/>
  <c r="T49" i="40"/>
  <c r="AA49" i="40" s="1"/>
  <c r="I37" i="40"/>
  <c r="J37" i="40" s="1"/>
  <c r="H32" i="39"/>
  <c r="I32" i="39" s="1"/>
  <c r="I34" i="40"/>
  <c r="J34" i="40" s="1"/>
  <c r="H29" i="39"/>
  <c r="I29" i="39" s="1"/>
  <c r="I31" i="40"/>
  <c r="J31" i="40" s="1"/>
  <c r="H26" i="39"/>
  <c r="I26" i="39" s="1"/>
  <c r="C17" i="39"/>
  <c r="D76" i="41"/>
  <c r="E76" i="41" s="1"/>
  <c r="D78" i="41"/>
  <c r="E78" i="41" s="1"/>
  <c r="T124" i="40"/>
  <c r="AA124" i="40" s="1"/>
  <c r="G354" i="40"/>
  <c r="T69" i="40"/>
  <c r="AA69" i="40" s="1"/>
  <c r="T358" i="40"/>
  <c r="AA354" i="40" s="1"/>
  <c r="T280" i="40"/>
  <c r="AA276" i="40" s="1"/>
  <c r="T92" i="40"/>
  <c r="AA92" i="40" s="1"/>
  <c r="Q460" i="40"/>
  <c r="G376" i="40"/>
  <c r="G302" i="40"/>
  <c r="S460" i="40"/>
  <c r="T447" i="40"/>
  <c r="AA443" i="40" s="1"/>
  <c r="G329" i="40"/>
  <c r="G381" i="40"/>
  <c r="R262" i="40"/>
  <c r="G39" i="40"/>
  <c r="S256" i="40"/>
  <c r="Q256" i="40"/>
  <c r="G346" i="40"/>
  <c r="G297" i="40"/>
  <c r="G382" i="40"/>
  <c r="G275" i="40"/>
  <c r="G370" i="40"/>
  <c r="G271" i="40"/>
  <c r="G377" i="40"/>
  <c r="I494" i="40"/>
  <c r="G363" i="40"/>
  <c r="G384" i="40"/>
  <c r="G269" i="40"/>
  <c r="I558" i="40"/>
  <c r="G265" i="40"/>
  <c r="G288" i="40"/>
  <c r="G379" i="40"/>
  <c r="G279" i="40"/>
  <c r="G317" i="40"/>
  <c r="G435" i="40"/>
  <c r="E618" i="40"/>
  <c r="G618" i="40" s="1"/>
  <c r="I618" i="40" s="1"/>
  <c r="G421" i="40"/>
  <c r="E610" i="40"/>
  <c r="G610" i="40" s="1"/>
  <c r="I610" i="40" s="1"/>
  <c r="G286" i="40"/>
  <c r="E507" i="40"/>
  <c r="G507" i="40" s="1"/>
  <c r="I507" i="40" s="1"/>
  <c r="G350" i="40"/>
  <c r="E545" i="40"/>
  <c r="G545" i="40" s="1"/>
  <c r="I545" i="40" s="1"/>
  <c r="G414" i="40"/>
  <c r="E606" i="40"/>
  <c r="G606" i="40" s="1"/>
  <c r="I606" i="40" s="1"/>
  <c r="G408" i="40"/>
  <c r="E600" i="40"/>
  <c r="G600" i="40" s="1"/>
  <c r="I600" i="40" s="1"/>
  <c r="G425" i="40"/>
  <c r="E612" i="40"/>
  <c r="G612" i="40" s="1"/>
  <c r="I612" i="40" s="1"/>
  <c r="G439" i="40"/>
  <c r="E620" i="40"/>
  <c r="G620" i="40" s="1"/>
  <c r="I620" i="40" s="1"/>
  <c r="I498" i="40"/>
  <c r="G366" i="40"/>
  <c r="G273" i="40"/>
  <c r="G295" i="40"/>
  <c r="G301" i="40"/>
  <c r="E519" i="40"/>
  <c r="G519" i="40" s="1"/>
  <c r="I519" i="40" s="1"/>
  <c r="G365" i="40"/>
  <c r="E557" i="40"/>
  <c r="G557" i="40" s="1"/>
  <c r="I557" i="40" s="1"/>
  <c r="G429" i="40"/>
  <c r="E614" i="40"/>
  <c r="G614" i="40" s="1"/>
  <c r="I614" i="40" s="1"/>
  <c r="G416" i="40"/>
  <c r="E607" i="40"/>
  <c r="G607" i="40" s="1"/>
  <c r="I607" i="40" s="1"/>
  <c r="G457" i="40"/>
  <c r="E630" i="40"/>
  <c r="G630" i="40" s="1"/>
  <c r="I630" i="40" s="1"/>
  <c r="I495" i="40"/>
  <c r="G437" i="40"/>
  <c r="E619" i="40"/>
  <c r="G619" i="40" s="1"/>
  <c r="I619" i="40" s="1"/>
  <c r="G430" i="40"/>
  <c r="E615" i="40"/>
  <c r="G615" i="40" s="1"/>
  <c r="I615" i="40" s="1"/>
  <c r="G266" i="40"/>
  <c r="G383" i="40"/>
  <c r="G388" i="40"/>
  <c r="E580" i="40"/>
  <c r="G580" i="40" s="1"/>
  <c r="I580" i="40" s="1"/>
  <c r="G452" i="40"/>
  <c r="E627" i="40"/>
  <c r="G627" i="40" s="1"/>
  <c r="I627" i="40" s="1"/>
  <c r="G399" i="40"/>
  <c r="E591" i="40"/>
  <c r="G591" i="40" s="1"/>
  <c r="I591" i="40" s="1"/>
  <c r="G410" i="40"/>
  <c r="E602" i="40"/>
  <c r="G602" i="40" s="1"/>
  <c r="I602" i="40" s="1"/>
  <c r="G268" i="40"/>
  <c r="E497" i="40"/>
  <c r="G497" i="40" s="1"/>
  <c r="I497" i="40" s="1"/>
  <c r="G325" i="40"/>
  <c r="E532" i="40"/>
  <c r="G532" i="40" s="1"/>
  <c r="I532" i="40" s="1"/>
  <c r="G453" i="40"/>
  <c r="E628" i="40"/>
  <c r="G628" i="40" s="1"/>
  <c r="I628" i="40" s="1"/>
  <c r="G431" i="40"/>
  <c r="E616" i="40"/>
  <c r="G616" i="40" s="1"/>
  <c r="I616" i="40" s="1"/>
  <c r="G411" i="40"/>
  <c r="E603" i="40"/>
  <c r="G603" i="40" s="1"/>
  <c r="I603" i="40" s="1"/>
  <c r="G397" i="40"/>
  <c r="E589" i="40"/>
  <c r="G589" i="40" s="1"/>
  <c r="I589" i="40" s="1"/>
  <c r="G390" i="40"/>
  <c r="E582" i="40"/>
  <c r="G582" i="40" s="1"/>
  <c r="I582" i="40" s="1"/>
  <c r="G367" i="40"/>
  <c r="G398" i="40"/>
  <c r="E590" i="40"/>
  <c r="G590" i="40" s="1"/>
  <c r="I590" i="40" s="1"/>
  <c r="G361" i="40"/>
  <c r="E553" i="40"/>
  <c r="G553" i="40" s="1"/>
  <c r="I553" i="40" s="1"/>
  <c r="G375" i="40"/>
  <c r="E567" i="40"/>
  <c r="G567" i="40" s="1"/>
  <c r="I567" i="40" s="1"/>
  <c r="H632" i="40"/>
  <c r="G427" i="40"/>
  <c r="E613" i="40"/>
  <c r="G613" i="40" s="1"/>
  <c r="I613" i="40" s="1"/>
  <c r="G292" i="40"/>
  <c r="E511" i="40"/>
  <c r="G511" i="40" s="1"/>
  <c r="I511" i="40" s="1"/>
  <c r="G420" i="40"/>
  <c r="E609" i="40"/>
  <c r="G609" i="40" s="1"/>
  <c r="I609" i="40" s="1"/>
  <c r="G413" i="40"/>
  <c r="E605" i="40"/>
  <c r="G605" i="40" s="1"/>
  <c r="I605" i="40" s="1"/>
  <c r="G400" i="40"/>
  <c r="E592" i="40"/>
  <c r="G592" i="40" s="1"/>
  <c r="I592" i="40" s="1"/>
  <c r="G393" i="40"/>
  <c r="E585" i="40"/>
  <c r="G585" i="40" s="1"/>
  <c r="I585" i="40" s="1"/>
  <c r="J460" i="40"/>
  <c r="E94" i="41"/>
  <c r="F94" i="41" s="1"/>
  <c r="F68" i="41"/>
  <c r="I19" i="40"/>
  <c r="E93" i="41"/>
  <c r="D93" i="41"/>
  <c r="I24" i="40"/>
  <c r="J24" i="40" s="1"/>
  <c r="H20" i="39"/>
  <c r="I20" i="39" s="1"/>
  <c r="D95" i="41"/>
  <c r="E95" i="41"/>
  <c r="H14" i="39"/>
  <c r="I14" i="39" s="1"/>
  <c r="C19" i="39"/>
  <c r="D92" i="41"/>
  <c r="E92" i="41"/>
  <c r="I25" i="40"/>
  <c r="J25" i="40" s="1"/>
  <c r="H21" i="39"/>
  <c r="I21" i="39" s="1"/>
  <c r="D27" i="41"/>
  <c r="D30" i="41"/>
  <c r="D26" i="41"/>
  <c r="D32" i="41"/>
  <c r="D28" i="41"/>
  <c r="D31" i="41"/>
  <c r="D24" i="41"/>
  <c r="F19" i="41"/>
  <c r="J11" i="40"/>
  <c r="J470" i="40" s="1"/>
  <c r="G11" i="40"/>
  <c r="C470" i="40" s="1"/>
  <c r="D470" i="40" s="1"/>
  <c r="R470" i="40" s="1"/>
  <c r="G27" i="40"/>
  <c r="G109" i="40"/>
  <c r="G101" i="40"/>
  <c r="G175" i="40"/>
  <c r="G254" i="40"/>
  <c r="G162" i="40"/>
  <c r="G107" i="40"/>
  <c r="G191" i="40"/>
  <c r="G80" i="40"/>
  <c r="G208" i="40"/>
  <c r="G245" i="40"/>
  <c r="G236" i="40"/>
  <c r="G152" i="40"/>
  <c r="G125" i="40"/>
  <c r="G247" i="40"/>
  <c r="J256" i="40"/>
  <c r="G246" i="40"/>
  <c r="G203" i="40"/>
  <c r="G214" i="40"/>
  <c r="G187" i="40"/>
  <c r="G155" i="40"/>
  <c r="G126" i="40"/>
  <c r="G103" i="40"/>
  <c r="G111" i="40"/>
  <c r="G255" i="40"/>
  <c r="G95" i="40"/>
  <c r="G251" i="40"/>
  <c r="G195" i="40"/>
  <c r="G206" i="40"/>
  <c r="G239" i="40"/>
  <c r="G174" i="40"/>
  <c r="G235" i="40"/>
  <c r="G230" i="40"/>
  <c r="G198" i="40"/>
  <c r="G169" i="40"/>
  <c r="G79" i="40"/>
  <c r="G145" i="40"/>
  <c r="G227" i="40"/>
  <c r="G219" i="40"/>
  <c r="G158" i="40"/>
  <c r="G142" i="40"/>
  <c r="G63" i="40"/>
  <c r="G211" i="40"/>
  <c r="R256" i="40"/>
  <c r="N18" i="46" l="1"/>
  <c r="I35" i="46"/>
  <c r="N54" i="46"/>
  <c r="G106" i="40"/>
  <c r="G423" i="40"/>
  <c r="G159" i="40"/>
  <c r="G190" i="40"/>
  <c r="E537" i="40"/>
  <c r="G537" i="40" s="1"/>
  <c r="I537" i="40" s="1"/>
  <c r="E621" i="40"/>
  <c r="G621" i="40" s="1"/>
  <c r="I621" i="40" s="1"/>
  <c r="G334" i="40"/>
  <c r="G441" i="40"/>
  <c r="G182" i="40"/>
  <c r="G134" i="40"/>
  <c r="E506" i="40"/>
  <c r="G506" i="40" s="1"/>
  <c r="I506" i="40" s="1"/>
  <c r="N21" i="46"/>
  <c r="G284" i="40"/>
  <c r="G130" i="40"/>
  <c r="G222" i="40"/>
  <c r="G262" i="40"/>
  <c r="N19" i="46"/>
  <c r="N16" i="46"/>
  <c r="G100" i="40"/>
  <c r="N7" i="46"/>
  <c r="N25" i="46"/>
  <c r="N20" i="46"/>
  <c r="G324" i="40"/>
  <c r="H324" i="40"/>
  <c r="G216" i="40"/>
  <c r="H216" i="40"/>
  <c r="G215" i="40"/>
  <c r="H215" i="40"/>
  <c r="G59" i="40"/>
  <c r="H59" i="40"/>
  <c r="G426" i="40"/>
  <c r="H426" i="40"/>
  <c r="G306" i="40"/>
  <c r="H306" i="40"/>
  <c r="G244" i="40"/>
  <c r="H244" i="40"/>
  <c r="G136" i="40"/>
  <c r="H136" i="40"/>
  <c r="G283" i="40"/>
  <c r="H283" i="40"/>
  <c r="E530" i="40"/>
  <c r="G530" i="40" s="1"/>
  <c r="I530" i="40" s="1"/>
  <c r="H321" i="40"/>
  <c r="G133" i="40"/>
  <c r="H133" i="40"/>
  <c r="E564" i="40"/>
  <c r="G564" i="40" s="1"/>
  <c r="I564" i="40" s="1"/>
  <c r="H372" i="40"/>
  <c r="E510" i="40"/>
  <c r="G510" i="40" s="1"/>
  <c r="I510" i="40" s="1"/>
  <c r="H290" i="40"/>
  <c r="G232" i="40"/>
  <c r="H232" i="40"/>
  <c r="G218" i="40"/>
  <c r="H218" i="40"/>
  <c r="G166" i="40"/>
  <c r="H166" i="40"/>
  <c r="G124" i="40"/>
  <c r="H124" i="40"/>
  <c r="G228" i="40"/>
  <c r="H228" i="40"/>
  <c r="G223" i="40"/>
  <c r="H223" i="40"/>
  <c r="G149" i="40"/>
  <c r="H149" i="40"/>
  <c r="E509" i="40"/>
  <c r="G509" i="40" s="1"/>
  <c r="I509" i="40" s="1"/>
  <c r="H289" i="40"/>
  <c r="G459" i="40"/>
  <c r="H459" i="40"/>
  <c r="E554" i="40"/>
  <c r="G554" i="40" s="1"/>
  <c r="I554" i="40" s="1"/>
  <c r="H362" i="40"/>
  <c r="G274" i="40"/>
  <c r="H274" i="40"/>
  <c r="G238" i="40"/>
  <c r="H238" i="40"/>
  <c r="G93" i="40"/>
  <c r="H93" i="40"/>
  <c r="G339" i="40"/>
  <c r="H339" i="40"/>
  <c r="G450" i="40"/>
  <c r="H450" i="40"/>
  <c r="G418" i="40"/>
  <c r="H418" i="40"/>
  <c r="E533" i="40"/>
  <c r="G533" i="40" s="1"/>
  <c r="I533" i="40" s="1"/>
  <c r="H327" i="40"/>
  <c r="G168" i="40"/>
  <c r="H168" i="40"/>
  <c r="G264" i="40"/>
  <c r="H264" i="40"/>
  <c r="G98" i="40"/>
  <c r="H98" i="40"/>
  <c r="G312" i="40"/>
  <c r="H312" i="40"/>
  <c r="E550" i="40"/>
  <c r="G550" i="40" s="1"/>
  <c r="I550" i="40" s="1"/>
  <c r="H358" i="40"/>
  <c r="E544" i="40"/>
  <c r="G544" i="40" s="1"/>
  <c r="I544" i="40" s="1"/>
  <c r="H348" i="40"/>
  <c r="E525" i="40"/>
  <c r="G525" i="40" s="1"/>
  <c r="I525" i="40" s="1"/>
  <c r="H311" i="40"/>
  <c r="G88" i="40"/>
  <c r="H88" i="40"/>
  <c r="G116" i="40"/>
  <c r="H116" i="40"/>
  <c r="G97" i="40"/>
  <c r="H97" i="40"/>
  <c r="G291" i="40"/>
  <c r="H291" i="40"/>
  <c r="G392" i="40"/>
  <c r="H392" i="40"/>
  <c r="G141" i="40"/>
  <c r="H141" i="40"/>
  <c r="G160" i="40"/>
  <c r="H160" i="40"/>
  <c r="G242" i="40"/>
  <c r="H242" i="40"/>
  <c r="G243" i="40"/>
  <c r="H243" i="40"/>
  <c r="G151" i="40"/>
  <c r="H151" i="40"/>
  <c r="G298" i="40"/>
  <c r="H298" i="40"/>
  <c r="G153" i="40"/>
  <c r="H153" i="40"/>
  <c r="G253" i="40"/>
  <c r="H253" i="40"/>
  <c r="G67" i="40"/>
  <c r="H67" i="40"/>
  <c r="G73" i="40"/>
  <c r="H73" i="40"/>
  <c r="G57" i="40"/>
  <c r="H57" i="40"/>
  <c r="E578" i="40"/>
  <c r="G578" i="40" s="1"/>
  <c r="I578" i="40" s="1"/>
  <c r="H386" i="40"/>
  <c r="G396" i="40"/>
  <c r="H396" i="40"/>
  <c r="G132" i="40"/>
  <c r="H132" i="40"/>
  <c r="G443" i="40"/>
  <c r="H443" i="40"/>
  <c r="G173" i="40"/>
  <c r="H173" i="40"/>
  <c r="G438" i="40"/>
  <c r="H438" i="40"/>
  <c r="G81" i="40"/>
  <c r="H81" i="40"/>
  <c r="G53" i="40"/>
  <c r="H53" i="40"/>
  <c r="G442" i="40"/>
  <c r="H442" i="40"/>
  <c r="G307" i="40"/>
  <c r="H307" i="40"/>
  <c r="G316" i="40"/>
  <c r="H316" i="40"/>
  <c r="G446" i="40"/>
  <c r="H446" i="40"/>
  <c r="G300" i="40"/>
  <c r="H300" i="40"/>
  <c r="E552" i="40"/>
  <c r="G552" i="40" s="1"/>
  <c r="I552" i="40" s="1"/>
  <c r="H360" i="40"/>
  <c r="G444" i="40"/>
  <c r="H444" i="40"/>
  <c r="G112" i="40"/>
  <c r="H112" i="40"/>
  <c r="G138" i="40"/>
  <c r="H138" i="40"/>
  <c r="G196" i="40"/>
  <c r="H196" i="40"/>
  <c r="G189" i="40"/>
  <c r="H189" i="40"/>
  <c r="G58" i="40"/>
  <c r="H58" i="40"/>
  <c r="E522" i="40"/>
  <c r="G522" i="40" s="1"/>
  <c r="I522" i="40" s="1"/>
  <c r="H305" i="40"/>
  <c r="E598" i="40"/>
  <c r="G598" i="40" s="1"/>
  <c r="I598" i="40" s="1"/>
  <c r="H406" i="40"/>
  <c r="G199" i="40"/>
  <c r="H199" i="40"/>
  <c r="G455" i="40"/>
  <c r="H455" i="40"/>
  <c r="G212" i="40"/>
  <c r="H212" i="40"/>
  <c r="G205" i="40"/>
  <c r="H205" i="40"/>
  <c r="G419" i="40"/>
  <c r="H419" i="40"/>
  <c r="G71" i="40"/>
  <c r="H71" i="40"/>
  <c r="G120" i="40"/>
  <c r="H120" i="40"/>
  <c r="G85" i="40"/>
  <c r="H85" i="40"/>
  <c r="G99" i="40"/>
  <c r="H99" i="40"/>
  <c r="E514" i="40"/>
  <c r="G514" i="40" s="1"/>
  <c r="I514" i="40" s="1"/>
  <c r="H295" i="40"/>
  <c r="G137" i="40"/>
  <c r="H137" i="40"/>
  <c r="G82" i="40"/>
  <c r="H82" i="40"/>
  <c r="G117" i="40"/>
  <c r="H117" i="40"/>
  <c r="E504" i="40"/>
  <c r="G504" i="40" s="1"/>
  <c r="I504" i="40" s="1"/>
  <c r="H281" i="40"/>
  <c r="E515" i="40"/>
  <c r="G515" i="40" s="1"/>
  <c r="I515" i="40" s="1"/>
  <c r="H296" i="40"/>
  <c r="G412" i="40"/>
  <c r="H412" i="40"/>
  <c r="G252" i="40"/>
  <c r="H252" i="40"/>
  <c r="G224" i="40"/>
  <c r="H224" i="40"/>
  <c r="G150" i="40"/>
  <c r="H150" i="40"/>
  <c r="G337" i="40"/>
  <c r="H337" i="40"/>
  <c r="G192" i="40"/>
  <c r="H192" i="40"/>
  <c r="E535" i="40"/>
  <c r="G535" i="40" s="1"/>
  <c r="I535" i="40" s="1"/>
  <c r="H331" i="40"/>
  <c r="G378" i="40"/>
  <c r="H378" i="40"/>
  <c r="E566" i="40"/>
  <c r="G566" i="40" s="1"/>
  <c r="I566" i="40" s="1"/>
  <c r="H374" i="40"/>
  <c r="G167" i="40"/>
  <c r="H167" i="40"/>
  <c r="E596" i="40"/>
  <c r="G596" i="40" s="1"/>
  <c r="I596" i="40" s="1"/>
  <c r="H404" i="40"/>
  <c r="G140" i="40"/>
  <c r="H140" i="40"/>
  <c r="E548" i="40"/>
  <c r="G548" i="40" s="1"/>
  <c r="I548" i="40" s="1"/>
  <c r="H356" i="40"/>
  <c r="G78" i="40"/>
  <c r="H78" i="40"/>
  <c r="E546" i="40"/>
  <c r="G546" i="40" s="1"/>
  <c r="I546" i="40" s="1"/>
  <c r="H352" i="40"/>
  <c r="G344" i="40"/>
  <c r="H344" i="40"/>
  <c r="G122" i="40"/>
  <c r="H122" i="40"/>
  <c r="G181" i="40"/>
  <c r="H181" i="40"/>
  <c r="G89" i="40"/>
  <c r="H89" i="40"/>
  <c r="E583" i="40"/>
  <c r="G583" i="40" s="1"/>
  <c r="I583" i="40" s="1"/>
  <c r="H391" i="40"/>
  <c r="G394" i="40"/>
  <c r="H394" i="40"/>
  <c r="G447" i="40"/>
  <c r="H447" i="40"/>
  <c r="G186" i="40"/>
  <c r="H186" i="40"/>
  <c r="G121" i="40"/>
  <c r="H121" i="40"/>
  <c r="G118" i="40"/>
  <c r="H118" i="40"/>
  <c r="G220" i="40"/>
  <c r="H220" i="40"/>
  <c r="G84" i="40"/>
  <c r="H84" i="40"/>
  <c r="G293" i="40"/>
  <c r="H293" i="40"/>
  <c r="E518" i="40"/>
  <c r="G518" i="40" s="1"/>
  <c r="I518" i="40" s="1"/>
  <c r="H299" i="40"/>
  <c r="E572" i="40"/>
  <c r="G572" i="40" s="1"/>
  <c r="I572" i="40" s="1"/>
  <c r="H380" i="40"/>
  <c r="G179" i="40"/>
  <c r="H179" i="40"/>
  <c r="G353" i="40"/>
  <c r="H353" i="40"/>
  <c r="G60" i="40"/>
  <c r="H60" i="40"/>
  <c r="G395" i="40"/>
  <c r="H395" i="40"/>
  <c r="E505" i="40"/>
  <c r="G505" i="40" s="1"/>
  <c r="I505" i="40" s="1"/>
  <c r="H282" i="40"/>
  <c r="G342" i="40"/>
  <c r="H342" i="40"/>
  <c r="G209" i="40"/>
  <c r="H209" i="40"/>
  <c r="E524" i="40"/>
  <c r="G524" i="40" s="1"/>
  <c r="I524" i="40" s="1"/>
  <c r="H309" i="40"/>
  <c r="G128" i="40"/>
  <c r="H128" i="40"/>
  <c r="E625" i="40"/>
  <c r="G625" i="40" s="1"/>
  <c r="I625" i="40" s="1"/>
  <c r="H449" i="40"/>
  <c r="G357" i="40"/>
  <c r="H357" i="40"/>
  <c r="G250" i="40"/>
  <c r="H250" i="40"/>
  <c r="E540" i="40"/>
  <c r="G540" i="40" s="1"/>
  <c r="I540" i="40" s="1"/>
  <c r="H340" i="40"/>
  <c r="G183" i="40"/>
  <c r="H183" i="40"/>
  <c r="G178" i="40"/>
  <c r="H178" i="40"/>
  <c r="G115" i="40"/>
  <c r="H115" i="40"/>
  <c r="G66" i="40"/>
  <c r="H66" i="40"/>
  <c r="G131" i="40"/>
  <c r="H131" i="40"/>
  <c r="G335" i="40"/>
  <c r="H335" i="40"/>
  <c r="G432" i="40"/>
  <c r="H432" i="40"/>
  <c r="G287" i="40"/>
  <c r="H287" i="40"/>
  <c r="G87" i="40"/>
  <c r="H87" i="40"/>
  <c r="G154" i="40"/>
  <c r="H154" i="40"/>
  <c r="E513" i="40"/>
  <c r="G513" i="40" s="1"/>
  <c r="I513" i="40" s="1"/>
  <c r="H294" i="40"/>
  <c r="G194" i="40"/>
  <c r="H194" i="40"/>
  <c r="G55" i="40"/>
  <c r="H55" i="40"/>
  <c r="G113" i="40"/>
  <c r="H113" i="40"/>
  <c r="E565" i="40"/>
  <c r="G565" i="40" s="1"/>
  <c r="I565" i="40" s="1"/>
  <c r="H373" i="40"/>
  <c r="E526" i="40"/>
  <c r="G526" i="40" s="1"/>
  <c r="I526" i="40" s="1"/>
  <c r="H313" i="40"/>
  <c r="G171" i="40"/>
  <c r="H171" i="40"/>
  <c r="G436" i="40"/>
  <c r="H436" i="40"/>
  <c r="G407" i="40"/>
  <c r="H407" i="40"/>
  <c r="G114" i="40"/>
  <c r="H114" i="40"/>
  <c r="E601" i="40"/>
  <c r="G601" i="40" s="1"/>
  <c r="I601" i="40" s="1"/>
  <c r="H409" i="40"/>
  <c r="G70" i="40"/>
  <c r="H70" i="40"/>
  <c r="G108" i="40"/>
  <c r="H108" i="40"/>
  <c r="G146" i="40"/>
  <c r="H146" i="40"/>
  <c r="G193" i="40"/>
  <c r="H193" i="40"/>
  <c r="G61" i="40"/>
  <c r="H61" i="40"/>
  <c r="G172" i="40"/>
  <c r="H172" i="40"/>
  <c r="G389" i="40"/>
  <c r="H389" i="40"/>
  <c r="G197" i="40"/>
  <c r="H197" i="40"/>
  <c r="G343" i="40"/>
  <c r="H343" i="40"/>
  <c r="G248" i="40"/>
  <c r="H248" i="40"/>
  <c r="G276" i="40"/>
  <c r="H276" i="40"/>
  <c r="G226" i="40"/>
  <c r="H226" i="40"/>
  <c r="G105" i="40"/>
  <c r="H105" i="40"/>
  <c r="E539" i="40"/>
  <c r="G539" i="40" s="1"/>
  <c r="I539" i="40" s="1"/>
  <c r="H338" i="40"/>
  <c r="G234" i="40"/>
  <c r="H234" i="40"/>
  <c r="E527" i="40"/>
  <c r="G527" i="40" s="1"/>
  <c r="I527" i="40" s="1"/>
  <c r="H315" i="40"/>
  <c r="G355" i="40"/>
  <c r="H355" i="40"/>
  <c r="G445" i="40"/>
  <c r="H445" i="40"/>
  <c r="G308" i="40"/>
  <c r="H308" i="40"/>
  <c r="G202" i="40"/>
  <c r="H202" i="40"/>
  <c r="G96" i="40"/>
  <c r="H96" i="40"/>
  <c r="E536" i="40"/>
  <c r="G536" i="40" s="1"/>
  <c r="I536" i="40" s="1"/>
  <c r="H332" i="40"/>
  <c r="G402" i="40"/>
  <c r="H402" i="40"/>
  <c r="G177" i="40"/>
  <c r="H177" i="40"/>
  <c r="E556" i="40"/>
  <c r="G556" i="40" s="1"/>
  <c r="I556" i="40" s="1"/>
  <c r="H364" i="40"/>
  <c r="G104" i="40"/>
  <c r="H104" i="40"/>
  <c r="G217" i="40"/>
  <c r="H217" i="40"/>
  <c r="E560" i="40"/>
  <c r="G560" i="40" s="1"/>
  <c r="I560" i="40" s="1"/>
  <c r="H368" i="40"/>
  <c r="G233" i="40"/>
  <c r="H233" i="40"/>
  <c r="G336" i="40"/>
  <c r="H336" i="40"/>
  <c r="G249" i="40"/>
  <c r="H249" i="40"/>
  <c r="N12" i="46"/>
  <c r="N26" i="46"/>
  <c r="N11" i="46"/>
  <c r="N28" i="46"/>
  <c r="N29" i="46"/>
  <c r="N14" i="46"/>
  <c r="N27" i="46"/>
  <c r="N6" i="46"/>
  <c r="N30" i="46"/>
  <c r="N23" i="46"/>
  <c r="N9" i="46"/>
  <c r="N24" i="46"/>
  <c r="N5" i="46"/>
  <c r="N10" i="46"/>
  <c r="N15" i="46"/>
  <c r="N13" i="46"/>
  <c r="N22" i="46"/>
  <c r="N17" i="46"/>
  <c r="I54" i="46"/>
  <c r="K91" i="46"/>
  <c r="K123" i="46"/>
  <c r="E542" i="40"/>
  <c r="G542" i="40" s="1"/>
  <c r="I542" i="40" s="1"/>
  <c r="I63" i="46"/>
  <c r="I62" i="46"/>
  <c r="I70" i="46"/>
  <c r="E624" i="40"/>
  <c r="G624" i="40" s="1"/>
  <c r="I624" i="40" s="1"/>
  <c r="K179" i="46"/>
  <c r="K132" i="46"/>
  <c r="K18" i="46"/>
  <c r="I197" i="46"/>
  <c r="I38" i="46"/>
  <c r="E512" i="40"/>
  <c r="G512" i="40" s="1"/>
  <c r="I512" i="40" s="1"/>
  <c r="I51" i="46"/>
  <c r="K28" i="46"/>
  <c r="K8" i="46"/>
  <c r="K10" i="46"/>
  <c r="I79" i="46"/>
  <c r="I14" i="46"/>
  <c r="I95" i="46"/>
  <c r="K5" i="46"/>
  <c r="K12" i="46"/>
  <c r="K17" i="46"/>
  <c r="K15" i="46"/>
  <c r="I69" i="46"/>
  <c r="G356" i="40"/>
  <c r="G352" i="40"/>
  <c r="I53" i="46"/>
  <c r="I61" i="46"/>
  <c r="K152" i="46"/>
  <c r="H470" i="40"/>
  <c r="I470" i="40" s="1"/>
  <c r="J469" i="40"/>
  <c r="E622" i="40"/>
  <c r="G622" i="40" s="1"/>
  <c r="I622" i="40" s="1"/>
  <c r="G311" i="40"/>
  <c r="G404" i="40"/>
  <c r="G449" i="40"/>
  <c r="E549" i="40"/>
  <c r="G549" i="40" s="1"/>
  <c r="I549" i="40" s="1"/>
  <c r="G409" i="40"/>
  <c r="G281" i="40"/>
  <c r="E599" i="40"/>
  <c r="G599" i="40" s="1"/>
  <c r="I599" i="40" s="1"/>
  <c r="G364" i="40"/>
  <c r="E523" i="40"/>
  <c r="G523" i="40" s="1"/>
  <c r="I523" i="40" s="1"/>
  <c r="G348" i="40"/>
  <c r="E581" i="40"/>
  <c r="G581" i="40" s="1"/>
  <c r="I581" i="40" s="1"/>
  <c r="G340" i="40"/>
  <c r="E538" i="40"/>
  <c r="G538" i="40" s="1"/>
  <c r="I538" i="40" s="1"/>
  <c r="E594" i="40"/>
  <c r="G594" i="40" s="1"/>
  <c r="I594" i="40" s="1"/>
  <c r="G332" i="40"/>
  <c r="E608" i="40"/>
  <c r="G608" i="40" s="1"/>
  <c r="I608" i="40" s="1"/>
  <c r="G372" i="40"/>
  <c r="G309" i="40"/>
  <c r="E517" i="40"/>
  <c r="G517" i="40" s="1"/>
  <c r="I517" i="40" s="1"/>
  <c r="G290" i="40"/>
  <c r="G327" i="40"/>
  <c r="G282" i="40"/>
  <c r="F76" i="41"/>
  <c r="E631" i="40"/>
  <c r="G631" i="40" s="1"/>
  <c r="I631" i="40" s="1"/>
  <c r="G406" i="40"/>
  <c r="E623" i="40"/>
  <c r="G623" i="40" s="1"/>
  <c r="I623" i="40" s="1"/>
  <c r="E570" i="40"/>
  <c r="G570" i="40" s="1"/>
  <c r="I570" i="40" s="1"/>
  <c r="G380" i="40"/>
  <c r="G313" i="40"/>
  <c r="G386" i="40"/>
  <c r="G305" i="40"/>
  <c r="G331" i="40"/>
  <c r="G362" i="40"/>
  <c r="E541" i="40"/>
  <c r="G541" i="40" s="1"/>
  <c r="I541" i="40" s="1"/>
  <c r="G315" i="40"/>
  <c r="G296" i="40"/>
  <c r="G294" i="40"/>
  <c r="G373" i="40"/>
  <c r="G374" i="40"/>
  <c r="J39" i="40"/>
  <c r="K39" i="40" s="1"/>
  <c r="E604" i="40"/>
  <c r="G604" i="40" s="1"/>
  <c r="I604" i="40" s="1"/>
  <c r="E587" i="40"/>
  <c r="G587" i="40" s="1"/>
  <c r="I587" i="40" s="1"/>
  <c r="G299" i="40"/>
  <c r="E584" i="40"/>
  <c r="G584" i="40" s="1"/>
  <c r="I584" i="40" s="1"/>
  <c r="G323" i="40"/>
  <c r="G303" i="40"/>
  <c r="G277" i="40"/>
  <c r="G387" i="40"/>
  <c r="Q461" i="40"/>
  <c r="G371" i="40"/>
  <c r="G360" i="40"/>
  <c r="E597" i="40"/>
  <c r="G597" i="40" s="1"/>
  <c r="I597" i="40" s="1"/>
  <c r="G358" i="40"/>
  <c r="E561" i="40"/>
  <c r="G561" i="40" s="1"/>
  <c r="I561" i="40" s="1"/>
  <c r="G401" i="40"/>
  <c r="G338" i="40"/>
  <c r="G391" i="40"/>
  <c r="G321" i="40"/>
  <c r="E529" i="40"/>
  <c r="G529" i="40" s="1"/>
  <c r="I529" i="40" s="1"/>
  <c r="G385" i="40"/>
  <c r="E595" i="40"/>
  <c r="G595" i="40" s="1"/>
  <c r="I595" i="40" s="1"/>
  <c r="S461" i="40"/>
  <c r="G359" i="40"/>
  <c r="E496" i="40"/>
  <c r="G496" i="40" s="1"/>
  <c r="I496" i="40" s="1"/>
  <c r="G267" i="40"/>
  <c r="E626" i="40"/>
  <c r="G626" i="40" s="1"/>
  <c r="I626" i="40" s="1"/>
  <c r="T256" i="40"/>
  <c r="I21" i="40"/>
  <c r="J21" i="40" s="1"/>
  <c r="H17" i="39"/>
  <c r="I17" i="39" s="1"/>
  <c r="F7" i="39"/>
  <c r="E617" i="40"/>
  <c r="G617" i="40" s="1"/>
  <c r="I617" i="40" s="1"/>
  <c r="F78" i="41"/>
  <c r="F77" i="41"/>
  <c r="E611" i="40"/>
  <c r="G611" i="40" s="1"/>
  <c r="I611" i="40" s="1"/>
  <c r="R460" i="40"/>
  <c r="T460" i="40"/>
  <c r="G49" i="40"/>
  <c r="G261" i="40"/>
  <c r="G40" i="40"/>
  <c r="C467" i="40" s="1"/>
  <c r="C489" i="40" s="1"/>
  <c r="E588" i="40"/>
  <c r="G588" i="40" s="1"/>
  <c r="I588" i="40" s="1"/>
  <c r="E629" i="40"/>
  <c r="G629" i="40" s="1"/>
  <c r="I629" i="40" s="1"/>
  <c r="G289" i="40"/>
  <c r="F95" i="41"/>
  <c r="F93" i="41"/>
  <c r="I23" i="40"/>
  <c r="J23" i="40" s="1"/>
  <c r="H19" i="39"/>
  <c r="I19" i="39" s="1"/>
  <c r="C22" i="39"/>
  <c r="F92" i="41"/>
  <c r="D23" i="41"/>
  <c r="D22" i="41"/>
  <c r="D21" i="41"/>
  <c r="D29" i="41"/>
  <c r="D33" i="41"/>
  <c r="G470" i="40"/>
  <c r="G256" i="40" l="1"/>
  <c r="K256" i="40" s="1"/>
  <c r="D467" i="40"/>
  <c r="R467" i="40" s="1"/>
  <c r="V5" i="46"/>
  <c r="N4" i="46"/>
  <c r="P4" i="46" s="1"/>
  <c r="I632" i="40"/>
  <c r="I26" i="40"/>
  <c r="J26" i="40" s="1"/>
  <c r="J27" i="40" s="1"/>
  <c r="K27" i="40" s="1"/>
  <c r="H22" i="39"/>
  <c r="I22" i="39" s="1"/>
  <c r="G460" i="40"/>
  <c r="K460" i="40" s="1"/>
  <c r="G632" i="40"/>
  <c r="D25" i="41"/>
  <c r="D34" i="41" s="1"/>
  <c r="D35" i="41" s="1"/>
  <c r="D37" i="41" s="1"/>
  <c r="G467" i="40" l="1"/>
  <c r="H467" i="40"/>
  <c r="I467" i="40" s="1"/>
  <c r="G463" i="40"/>
  <c r="C469" i="40"/>
  <c r="J40" i="40"/>
  <c r="J467" i="40" s="1"/>
  <c r="F39" i="41"/>
  <c r="F40" i="41" s="1"/>
  <c r="F41" i="41" s="1"/>
  <c r="F42" i="41" s="1"/>
  <c r="D43" i="41"/>
  <c r="D469" i="40" l="1"/>
  <c r="R469" i="40" s="1"/>
  <c r="J472" i="40"/>
  <c r="J474" i="40" s="1"/>
  <c r="J475" i="40" s="1"/>
  <c r="J463" i="40"/>
  <c r="K463" i="40" s="1"/>
  <c r="K40" i="40"/>
  <c r="I37" i="41"/>
  <c r="D44" i="41"/>
  <c r="D45" i="41" s="1"/>
  <c r="D46" i="41"/>
  <c r="D10" i="39" l="1"/>
  <c r="D11" i="39" s="1"/>
  <c r="I42" i="41"/>
  <c r="I45" i="41" s="1"/>
  <c r="I36" i="41"/>
  <c r="G469" i="40"/>
  <c r="I469" i="40"/>
  <c r="D47" i="41"/>
  <c r="I41" i="41"/>
  <c r="J37" i="41"/>
  <c r="E60" i="41"/>
  <c r="D60" i="41"/>
  <c r="E10" i="39" l="1"/>
  <c r="D12" i="39"/>
  <c r="E11" i="39"/>
  <c r="F60" i="41"/>
  <c r="G43" i="40"/>
  <c r="G44" i="40" s="1"/>
  <c r="D13" i="39" l="1"/>
  <c r="E12" i="39"/>
  <c r="C468" i="40"/>
  <c r="K44" i="40"/>
  <c r="D14" i="39" l="1"/>
  <c r="E13" i="39"/>
  <c r="D468" i="40"/>
  <c r="C472" i="40"/>
  <c r="D15" i="39" l="1"/>
  <c r="E14" i="39"/>
  <c r="H468" i="40"/>
  <c r="R468" i="40"/>
  <c r="G468" i="40"/>
  <c r="G472" i="40" s="1"/>
  <c r="D472" i="40"/>
  <c r="C488" i="40" s="1"/>
  <c r="D16" i="39" l="1"/>
  <c r="E15" i="39"/>
  <c r="C487" i="40"/>
  <c r="D473" i="40"/>
  <c r="R472" i="40"/>
  <c r="I468" i="40"/>
  <c r="H472" i="40"/>
  <c r="D17" i="39" l="1"/>
  <c r="E16" i="39"/>
  <c r="J478" i="40"/>
  <c r="Q478" i="40" s="1"/>
  <c r="H473" i="40"/>
  <c r="I472" i="40"/>
  <c r="D474" i="40"/>
  <c r="R473" i="40"/>
  <c r="G473" i="40"/>
  <c r="D18" i="39" l="1"/>
  <c r="E18" i="39" s="1"/>
  <c r="E17" i="39"/>
  <c r="D475" i="40"/>
  <c r="R474" i="40"/>
  <c r="G474" i="40"/>
  <c r="G475" i="40" s="1"/>
  <c r="H474" i="40"/>
  <c r="I473" i="40"/>
  <c r="M475" i="40" l="1"/>
  <c r="E469" i="40"/>
  <c r="E475" i="40"/>
  <c r="K475" i="40"/>
  <c r="K476" i="40" s="1"/>
  <c r="E470" i="40"/>
  <c r="R475" i="40"/>
  <c r="E476" i="40"/>
  <c r="B7" i="40"/>
  <c r="D3" i="40" s="1"/>
  <c r="D28" i="38"/>
  <c r="A28" i="38" s="1"/>
  <c r="A30" i="38" s="1"/>
  <c r="A11" i="38" s="1"/>
  <c r="E467" i="40"/>
  <c r="E468" i="40"/>
  <c r="E472" i="40"/>
  <c r="E473" i="40"/>
  <c r="I474" i="40"/>
  <c r="H475" i="40"/>
  <c r="I475" i="40" s="1"/>
  <c r="E474" i="40"/>
  <c r="D12" i="38" l="1"/>
  <c r="D19" i="38"/>
  <c r="D13" i="38"/>
  <c r="D14" i="38"/>
  <c r="I27" i="38"/>
  <c r="H13" i="38" l="1"/>
  <c r="I13" i="38"/>
  <c r="I12" i="38"/>
  <c r="H12" i="38"/>
  <c r="H14" i="38"/>
  <c r="I14" i="38"/>
  <c r="H19" i="38"/>
  <c r="I19" i="38"/>
  <c r="I20" i="38" s="1"/>
  <c r="I15" i="38" l="1"/>
  <c r="I17" i="38" s="1"/>
  <c r="I18" i="38" s="1"/>
  <c r="I21" i="38" s="1"/>
  <c r="I23" i="38" s="1"/>
  <c r="I25" i="38" s="1"/>
  <c r="I28" i="38" s="1"/>
  <c r="J479" i="40" l="1"/>
  <c r="I29" i="38"/>
  <c r="I30" i="38" s="1"/>
  <c r="J480" i="40" l="1"/>
  <c r="Q479" i="40"/>
  <c r="K480" i="40" l="1"/>
  <c r="K481" i="40" s="1"/>
  <c r="K482" i="40" s="1"/>
  <c r="K486" i="40"/>
  <c r="K487" i="40" s="1"/>
  <c r="K488" i="40" s="1"/>
  <c r="J481" i="40"/>
  <c r="J482" i="40" s="1"/>
  <c r="F3" i="40" s="1"/>
  <c r="Q480" i="40"/>
  <c r="Q481" i="40" s="1"/>
  <c r="Q482" i="40" s="1"/>
  <c r="F61" i="41"/>
  <c r="D61" i="41"/>
  <c r="D61" i="4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<sst xmlns="http://schemas.openxmlformats.org/spreadsheetml/2006/main" count="6602" uniqueCount="1126">
  <si>
    <t>#</t>
  </si>
  <si>
    <t>CONCEPTO</t>
  </si>
  <si>
    <t>AIU</t>
  </si>
  <si>
    <t>Jardineria mt2</t>
  </si>
  <si>
    <t>Operario de aseo y cafetería con compromiso social</t>
  </si>
  <si>
    <t>Operario de aseo y cafetería</t>
  </si>
  <si>
    <t>Operario de mantenimiento</t>
  </si>
  <si>
    <t>Operario auxiliar</t>
  </si>
  <si>
    <t>Coordinador de tiempo completo</t>
  </si>
  <si>
    <t>Jardinero</t>
  </si>
  <si>
    <t>Operario de mantenimiento capacitado para trabajo en alturas</t>
  </si>
  <si>
    <t>Operario auxiliar capacitado para trabajo en alturas</t>
  </si>
  <si>
    <t>Jardinero capacitado para trabajo en alturas</t>
  </si>
  <si>
    <t>Coordinador de trabajo en alturas</t>
  </si>
  <si>
    <t>Turno operario de mantenimiento</t>
  </si>
  <si>
    <t>Turno operario de mantenimiento capacitado para trabajo en alturas nivel básico</t>
  </si>
  <si>
    <t>Turno coordinador de trabajo en alturas nivel básico</t>
  </si>
  <si>
    <t>PERSONAL TIEMPO COMPLETO</t>
  </si>
  <si>
    <t>PERSONAL MEDIO TIEMPO</t>
  </si>
  <si>
    <t>Coordinador</t>
  </si>
  <si>
    <t>BIENES DE ASEO Y CAFETERÍA</t>
  </si>
  <si>
    <t>Jabón para loza 1</t>
  </si>
  <si>
    <t>Jabón para loza 2</t>
  </si>
  <si>
    <t>Jabón para loza 3</t>
  </si>
  <si>
    <t>Jabón para loza 4</t>
  </si>
  <si>
    <t>Jabón en barra</t>
  </si>
  <si>
    <t>Jabón en barra azul</t>
  </si>
  <si>
    <t>Jabón abrasivo</t>
  </si>
  <si>
    <t>Jabón de tocador 1</t>
  </si>
  <si>
    <t>Jabón de tocador 2</t>
  </si>
  <si>
    <t>Jabón de dispensador para manos 1</t>
  </si>
  <si>
    <t>Jabón de dispensador para manos 2</t>
  </si>
  <si>
    <t>Jabón de dispensador para manos 3</t>
  </si>
  <si>
    <t>Gel antibacterial para manos</t>
  </si>
  <si>
    <t>Dispensador de gel antibacterial para manos</t>
  </si>
  <si>
    <t>Limpiador multiusos 1</t>
  </si>
  <si>
    <t>Limpiador multiusos 2</t>
  </si>
  <si>
    <t>Limpiador multiusos 3</t>
  </si>
  <si>
    <t>Limpiador desinfectante para pisos</t>
  </si>
  <si>
    <t>Líquido desengrasante</t>
  </si>
  <si>
    <t>Crema desengrasante</t>
  </si>
  <si>
    <t>Detergente multiusos en polvo</t>
  </si>
  <si>
    <t>Limpiador desinfectante para uso general 1</t>
  </si>
  <si>
    <t>Limpiador desinfectante para uso general 2</t>
  </si>
  <si>
    <t>Limpiador desinfectante para uso general 3</t>
  </si>
  <si>
    <t>Pastilla desinfectante para sanitario</t>
  </si>
  <si>
    <t>Líquido para limpiar vidrios 1</t>
  </si>
  <si>
    <t>Líquido para limpiar vidrios 2</t>
  </si>
  <si>
    <t>Líquido para limpiar vidrios 3</t>
  </si>
  <si>
    <t>Blanqueador o hipoclorito 1</t>
  </si>
  <si>
    <t>Blanqueador o hipoclorito 2</t>
  </si>
  <si>
    <t>Blanqueador o hipoclorito 3</t>
  </si>
  <si>
    <t>Alcohol industrial 1</t>
  </si>
  <si>
    <t>Alcohol industrial 2</t>
  </si>
  <si>
    <t>Creolina 1</t>
  </si>
  <si>
    <t>Creolina 2</t>
  </si>
  <si>
    <t>Líquido para limpiar equipos de oficina 1</t>
  </si>
  <si>
    <t>Líquido para limpiar equipos de oficina 2</t>
  </si>
  <si>
    <t>Champú para alfombras y tapizados 1</t>
  </si>
  <si>
    <t>Champú para alfombras y tapizados 2</t>
  </si>
  <si>
    <t>Lustrador de muebles</t>
  </si>
  <si>
    <t>Líquido cubre rasguños para madera</t>
  </si>
  <si>
    <t>Crema para cuero</t>
  </si>
  <si>
    <t>Cera polimérica</t>
  </si>
  <si>
    <t>Cera emulsionada Neutra</t>
  </si>
  <si>
    <t>Cera emulsionada roja</t>
  </si>
  <si>
    <t>Cera solvente</t>
  </si>
  <si>
    <t>Sellante para pisos</t>
  </si>
  <si>
    <t>Mantenedor de pisos</t>
  </si>
  <si>
    <t>Removedor de cera</t>
  </si>
  <si>
    <t>Abrillantador para piso laminado</t>
  </si>
  <si>
    <t>Jabón neutro para pisos 1</t>
  </si>
  <si>
    <t>Jabón neutro para pisos 2</t>
  </si>
  <si>
    <t>Varsol  ecológico 1</t>
  </si>
  <si>
    <t>Varsol ecológico 2</t>
  </si>
  <si>
    <t>Desmanchador multiusos</t>
  </si>
  <si>
    <t>Brillametal en crema</t>
  </si>
  <si>
    <t>Brillametal líquido</t>
  </si>
  <si>
    <t>Betún</t>
  </si>
  <si>
    <t>Ambientador 1</t>
  </si>
  <si>
    <t>Ambientador 2</t>
  </si>
  <si>
    <t>Insecticida 1</t>
  </si>
  <si>
    <t>Insecticida 2</t>
  </si>
  <si>
    <t>Limpiones 1</t>
  </si>
  <si>
    <t>Limpiones 2</t>
  </si>
  <si>
    <t>Limpiones 3</t>
  </si>
  <si>
    <t>Limpiones 4</t>
  </si>
  <si>
    <t>Limpiones 5</t>
  </si>
  <si>
    <t>Bayetilla 1</t>
  </si>
  <si>
    <t>Bayetilla 2</t>
  </si>
  <si>
    <t>Toalla en tela blanca para pisos por metro (repuesto de haraganes)</t>
  </si>
  <si>
    <t>Paño absorbente multiusos 1</t>
  </si>
  <si>
    <t>Paño absorbente multiusos 2</t>
  </si>
  <si>
    <t>Estopa</t>
  </si>
  <si>
    <t>Esponjilla 1</t>
  </si>
  <si>
    <t>Esponjilla 2</t>
  </si>
  <si>
    <t>Esponjilla 3</t>
  </si>
  <si>
    <t>Esponjilla 4</t>
  </si>
  <si>
    <t>Esponjilla 5</t>
  </si>
  <si>
    <t>Esponjilla 6</t>
  </si>
  <si>
    <t>Esponjilla 7</t>
  </si>
  <si>
    <t>Escoba 1</t>
  </si>
  <si>
    <t>Escoba 2</t>
  </si>
  <si>
    <t>Escoba 3</t>
  </si>
  <si>
    <t>Escoba 4</t>
  </si>
  <si>
    <t>Escoba 5</t>
  </si>
  <si>
    <t>Mango metálico escoba 1</t>
  </si>
  <si>
    <t>Mango madera escoba 1</t>
  </si>
  <si>
    <t>Cepillos 1</t>
  </si>
  <si>
    <t>Cepillos 2</t>
  </si>
  <si>
    <t>Cepillos 3</t>
  </si>
  <si>
    <t>Trapero 1</t>
  </si>
  <si>
    <t>Trapero 2</t>
  </si>
  <si>
    <t>Trapero 3</t>
  </si>
  <si>
    <t>Trapero 4</t>
  </si>
  <si>
    <t>Mango metálico trapero</t>
  </si>
  <si>
    <t>Mango madera trapero</t>
  </si>
  <si>
    <t>Cepillo para sanitario (churrusco)</t>
  </si>
  <si>
    <t>Pads 1</t>
  </si>
  <si>
    <t>Pads 2</t>
  </si>
  <si>
    <t>Pads 3</t>
  </si>
  <si>
    <t>Pads 4</t>
  </si>
  <si>
    <t>Pads 5</t>
  </si>
  <si>
    <t>Boneth 1</t>
  </si>
  <si>
    <t>Boneth 2</t>
  </si>
  <si>
    <t>Bolsas plásticas 1</t>
  </si>
  <si>
    <t>Bolsas plásticas 2</t>
  </si>
  <si>
    <t>Bolsas plásticas 3</t>
  </si>
  <si>
    <t>Bolsas plásticas 4</t>
  </si>
  <si>
    <t>Bolsas plásticas 5</t>
  </si>
  <si>
    <t>Bolsas plásticas 7</t>
  </si>
  <si>
    <t>Bolsas plásticas 8</t>
  </si>
  <si>
    <t>Bolsas plásticas 9</t>
  </si>
  <si>
    <t>Bolsas plásticas 10</t>
  </si>
  <si>
    <t>Bolsas plásticas 11</t>
  </si>
  <si>
    <t>Bolsas plásticas 12</t>
  </si>
  <si>
    <t>Bolsas plásticas 14</t>
  </si>
  <si>
    <t>Bolsas plásticas 15</t>
  </si>
  <si>
    <t>Bolsas plásticas 16</t>
  </si>
  <si>
    <t>Bolsas plásticas 17</t>
  </si>
  <si>
    <t>Bolsas plásticas 18</t>
  </si>
  <si>
    <t>Bolsas plásticas 19</t>
  </si>
  <si>
    <t>Bolsas plásticas 20</t>
  </si>
  <si>
    <t>Bolsas plásticas 21</t>
  </si>
  <si>
    <t>Bolsas plásticas 22</t>
  </si>
  <si>
    <t>Bolsas plásticas 23</t>
  </si>
  <si>
    <t>Bolsas plásticas 24</t>
  </si>
  <si>
    <t>Bolsas plásticas 25</t>
  </si>
  <si>
    <t>Bolsas plásticas 26</t>
  </si>
  <si>
    <t>Guantes 1</t>
  </si>
  <si>
    <t>Guantes 2</t>
  </si>
  <si>
    <t>Guantes 3</t>
  </si>
  <si>
    <t>Guantes 4</t>
  </si>
  <si>
    <t>Guantes 5</t>
  </si>
  <si>
    <t>Guantes 6</t>
  </si>
  <si>
    <t>Guantes 7</t>
  </si>
  <si>
    <t>Guantes 8</t>
  </si>
  <si>
    <t>Guantes 9</t>
  </si>
  <si>
    <t>Tapabocas 1</t>
  </si>
  <si>
    <t>Tapabocas 2</t>
  </si>
  <si>
    <t>Papel higiénico 1</t>
  </si>
  <si>
    <t>Papel higiénico 2</t>
  </si>
  <si>
    <t>Papel higiénico 3</t>
  </si>
  <si>
    <t>Papel higiénico 4</t>
  </si>
  <si>
    <t>Papel higiénico 5</t>
  </si>
  <si>
    <t>Toallas para manos 1</t>
  </si>
  <si>
    <t>Toallas para manos 2</t>
  </si>
  <si>
    <t>Toallas para manos 3</t>
  </si>
  <si>
    <t>Toallas para manos 4</t>
  </si>
  <si>
    <t>Toallas para manos 5</t>
  </si>
  <si>
    <t>Toallas para manos 6</t>
  </si>
  <si>
    <t>Toallas para manos 7</t>
  </si>
  <si>
    <t>Toallas para manos 8</t>
  </si>
  <si>
    <t>Pañuelos</t>
  </si>
  <si>
    <t>Vasos biodegradables 1</t>
  </si>
  <si>
    <t>Vasos biodegradables 2</t>
  </si>
  <si>
    <t>Vasos biodegradables 3</t>
  </si>
  <si>
    <t>Vasos biodegradables 4</t>
  </si>
  <si>
    <t>Mezclador 1</t>
  </si>
  <si>
    <t>Servilleta papel</t>
  </si>
  <si>
    <t>Filtro para greca 1</t>
  </si>
  <si>
    <t>Filtro para greca 2</t>
  </si>
  <si>
    <t>Filtro para greca 3</t>
  </si>
  <si>
    <t>Churrusco para tubos de greca</t>
  </si>
  <si>
    <t>Papel Aluminio 1</t>
  </si>
  <si>
    <t>Papel Aluminio 2</t>
  </si>
  <si>
    <t>Película transparente para alimentos</t>
  </si>
  <si>
    <t>Termo para café 1</t>
  </si>
  <si>
    <t>Termo para café 2</t>
  </si>
  <si>
    <t>Café 1</t>
  </si>
  <si>
    <t>Café 2</t>
  </si>
  <si>
    <t>Café 3</t>
  </si>
  <si>
    <t>Café Social</t>
  </si>
  <si>
    <t>Crema para café</t>
  </si>
  <si>
    <t>Azúcar 1</t>
  </si>
  <si>
    <t>Azúcar 2</t>
  </si>
  <si>
    <t>Azúcar 3</t>
  </si>
  <si>
    <t>Azúcar 4</t>
  </si>
  <si>
    <t>Endulzante</t>
  </si>
  <si>
    <t>Panela</t>
  </si>
  <si>
    <t>Sal 1</t>
  </si>
  <si>
    <t>Sal 2</t>
  </si>
  <si>
    <t>Sal 3</t>
  </si>
  <si>
    <t>Aromática</t>
  </si>
  <si>
    <t>Aromática de panela</t>
  </si>
  <si>
    <t>Bebida de frutas</t>
  </si>
  <si>
    <t>Bebida de panela</t>
  </si>
  <si>
    <t>Té</t>
  </si>
  <si>
    <t>Infusión frutal</t>
  </si>
  <si>
    <t>Agua potable 1</t>
  </si>
  <si>
    <t>Agua potable 2</t>
  </si>
  <si>
    <t>Agua potable 3</t>
  </si>
  <si>
    <t>Agua potable 4</t>
  </si>
  <si>
    <t>Válvula dispensadora para botellón de agua</t>
  </si>
  <si>
    <t>Servilleta de tela</t>
  </si>
  <si>
    <t>Cepillo para paredes y techos</t>
  </si>
  <si>
    <t>Brillador 1</t>
  </si>
  <si>
    <t>Brillador 2</t>
  </si>
  <si>
    <t>Repuestos brillador 1</t>
  </si>
  <si>
    <t>Repuestos brillador 2</t>
  </si>
  <si>
    <t>Destapador para sanitario (chupa)</t>
  </si>
  <si>
    <t>Plumero o limpia polvo</t>
  </si>
  <si>
    <t>Rastrillo 1</t>
  </si>
  <si>
    <t>Rastrillo 2</t>
  </si>
  <si>
    <t>Recogedor de basura 1</t>
  </si>
  <si>
    <t>Recogedor de basura 2</t>
  </si>
  <si>
    <t>Atomizadores</t>
  </si>
  <si>
    <t xml:space="preserve">Caneca para almacenar ropa sucia </t>
  </si>
  <si>
    <t>Vasos  1</t>
  </si>
  <si>
    <t>Vasos  2</t>
  </si>
  <si>
    <t xml:space="preserve">Cuchara </t>
  </si>
  <si>
    <t xml:space="preserve">Tenedor </t>
  </si>
  <si>
    <t xml:space="preserve">Cuchillo </t>
  </si>
  <si>
    <t xml:space="preserve">Cuchara pequeña </t>
  </si>
  <si>
    <t>Platos  1</t>
  </si>
  <si>
    <t>Platos  2</t>
  </si>
  <si>
    <t>Platos  3</t>
  </si>
  <si>
    <t>Platos  4</t>
  </si>
  <si>
    <t>Platos  5</t>
  </si>
  <si>
    <t xml:space="preserve">Pocillos </t>
  </si>
  <si>
    <t xml:space="preserve">Juego de cubiertos </t>
  </si>
  <si>
    <t>Terno para café</t>
  </si>
  <si>
    <t>Vajilla  1</t>
  </si>
  <si>
    <t>Vajilla  2</t>
  </si>
  <si>
    <t xml:space="preserve">Cuchillo de cocina </t>
  </si>
  <si>
    <t xml:space="preserve">Tijeras de cocina </t>
  </si>
  <si>
    <t xml:space="preserve">Jarra </t>
  </si>
  <si>
    <t>Combustible para Cortadora de césped, sopladora de hojas y guadañas</t>
  </si>
  <si>
    <t xml:space="preserve">Organizador  porta escobas </t>
  </si>
  <si>
    <t xml:space="preserve">Espátula </t>
  </si>
  <si>
    <t xml:space="preserve">Haraganes 1 </t>
  </si>
  <si>
    <t xml:space="preserve">Haraganes 2 </t>
  </si>
  <si>
    <t xml:space="preserve">Haraganes 3 </t>
  </si>
  <si>
    <t xml:space="preserve">Haraganes 4 </t>
  </si>
  <si>
    <t>Balde</t>
  </si>
  <si>
    <t>Plato Biodegradable 1</t>
  </si>
  <si>
    <t>Plato Biodegradable 2</t>
  </si>
  <si>
    <t xml:space="preserve">Terno para café </t>
  </si>
  <si>
    <t>Cafetera 1</t>
  </si>
  <si>
    <t>Portavasos</t>
  </si>
  <si>
    <t>Bandeja 1</t>
  </si>
  <si>
    <t>Bandeja 2</t>
  </si>
  <si>
    <t>Bandeja 3</t>
  </si>
  <si>
    <t>Bandeja 4</t>
  </si>
  <si>
    <t>Olleta</t>
  </si>
  <si>
    <t>Olla 1</t>
  </si>
  <si>
    <t>Olla 2</t>
  </si>
  <si>
    <t>Escurridor para platos</t>
  </si>
  <si>
    <t>Soporte para Botellón de agua</t>
  </si>
  <si>
    <t>Carro exprimidor de trapero 1</t>
  </si>
  <si>
    <t>Carro exprimidor de trapero 2</t>
  </si>
  <si>
    <t>Carros para limpieza</t>
  </si>
  <si>
    <t>Carro de bebidas</t>
  </si>
  <si>
    <t>Escalera 1</t>
  </si>
  <si>
    <t>Escalera 2</t>
  </si>
  <si>
    <t>Escalera 3</t>
  </si>
  <si>
    <t>Escalera 4</t>
  </si>
  <si>
    <t>Escalera de tipo industrial</t>
  </si>
  <si>
    <t>Mangueras 1</t>
  </si>
  <si>
    <t>Mangueras 2</t>
  </si>
  <si>
    <t>Mangueras 3</t>
  </si>
  <si>
    <t>Contenedor de basura 1</t>
  </si>
  <si>
    <t>Contenedor de basura 2</t>
  </si>
  <si>
    <t>Contenedor de basura 3</t>
  </si>
  <si>
    <t>Contenedor de basura 4</t>
  </si>
  <si>
    <t>Contenedor de basura 5</t>
  </si>
  <si>
    <t>Contenedor de basura 6</t>
  </si>
  <si>
    <t>Contenedor de basura 7</t>
  </si>
  <si>
    <t>Contenedor de basura 8</t>
  </si>
  <si>
    <t>Contenedor de basura 9</t>
  </si>
  <si>
    <t>Contenedor de basura 10</t>
  </si>
  <si>
    <t>Contenedor de basura 11</t>
  </si>
  <si>
    <t>Contenedor de basura 12</t>
  </si>
  <si>
    <t>Contenedor de basura 13</t>
  </si>
  <si>
    <t>Contenedor de basura 14</t>
  </si>
  <si>
    <t>Contenedor de basura 15</t>
  </si>
  <si>
    <t>Contenedor de basura 16</t>
  </si>
  <si>
    <t>Contenedor de basura 17</t>
  </si>
  <si>
    <t>Contenedor de basura 18</t>
  </si>
  <si>
    <t>Contenedor de basura 19</t>
  </si>
  <si>
    <t>Contenedor de basura 20</t>
  </si>
  <si>
    <t>Contenedor de basura 21</t>
  </si>
  <si>
    <t>Contenedor de basura 22</t>
  </si>
  <si>
    <t>Contenedor de basura 23</t>
  </si>
  <si>
    <t>Contenedor de basura 24</t>
  </si>
  <si>
    <t>Contenedor de basura 25</t>
  </si>
  <si>
    <t>Contenedor de basura 26</t>
  </si>
  <si>
    <t>Contenedor de basura 27</t>
  </si>
  <si>
    <t>Contenedor de basura 28</t>
  </si>
  <si>
    <t>Contenedor de basura 29</t>
  </si>
  <si>
    <t>Contenedor de basura 30</t>
  </si>
  <si>
    <t>Punto Ecológico 1</t>
  </si>
  <si>
    <t>Punto Ecológico 2</t>
  </si>
  <si>
    <t>Punto Ecológico 3</t>
  </si>
  <si>
    <t>Punto Ecológico 4</t>
  </si>
  <si>
    <t>Punto Ecológico 5</t>
  </si>
  <si>
    <t>Punto Ecológico 6</t>
  </si>
  <si>
    <t>Papelera 1</t>
  </si>
  <si>
    <t>Papelera 2</t>
  </si>
  <si>
    <t>Papelera 3</t>
  </si>
  <si>
    <t>Papelera 4</t>
  </si>
  <si>
    <t>Papelera residuos peligrosos 1</t>
  </si>
  <si>
    <t>Papelera residuos peligrosos 2</t>
  </si>
  <si>
    <t>Señales peatonales de prevención y atención 1</t>
  </si>
  <si>
    <t>Señales peatonales de prevención y atención 2</t>
  </si>
  <si>
    <t>Señales peatonales de prevención y atención 3</t>
  </si>
  <si>
    <t>Dispensador para papel higiénico 1</t>
  </si>
  <si>
    <t>Dispensador para papel higiénico 2</t>
  </si>
  <si>
    <t>Dispensador de toallas de manos 1</t>
  </si>
  <si>
    <t>Dispensador de toallas de manos 2</t>
  </si>
  <si>
    <t>Dispensador de toallas de manos 3</t>
  </si>
  <si>
    <t>Dispensador de jabón líquido 1</t>
  </si>
  <si>
    <t>Dispensador de jabón líquido 2</t>
  </si>
  <si>
    <t>Dispensador de jabón líquido 3</t>
  </si>
  <si>
    <t>Dispensador de jabón líquido 4</t>
  </si>
  <si>
    <t>Dispensador para ambientador</t>
  </si>
  <si>
    <t>Dispensador goteo por gravedad y recarga</t>
  </si>
  <si>
    <t>Dispensador de agua</t>
  </si>
  <si>
    <t>Dispensador de agua con botellón</t>
  </si>
  <si>
    <t>Greca para tintos 1</t>
  </si>
  <si>
    <t>Greca para tintos 2</t>
  </si>
  <si>
    <t>Greca para tintos 3</t>
  </si>
  <si>
    <t>Máquina de filtrado para café</t>
  </si>
  <si>
    <t>Horno microondas</t>
  </si>
  <si>
    <t>Horno microondas de tipo industrial</t>
  </si>
  <si>
    <t>Estufa 1</t>
  </si>
  <si>
    <t>Estufa 2</t>
  </si>
  <si>
    <t>Extensión eléctrica 1</t>
  </si>
  <si>
    <t>Extensión eléctrica 2</t>
  </si>
  <si>
    <t>Aspiradora 1</t>
  </si>
  <si>
    <t>Aspiradora 2</t>
  </si>
  <si>
    <t>Lavabrilladora de pisos 1</t>
  </si>
  <si>
    <t>Lavabrilladora de pisos 2</t>
  </si>
  <si>
    <t>Brilladora de alta revolución</t>
  </si>
  <si>
    <t>Lavadora de alfombras y tapetes 1</t>
  </si>
  <si>
    <t>Lavadora de alfombras y tapetes 2</t>
  </si>
  <si>
    <t>Hidrolavadora Industrial</t>
  </si>
  <si>
    <t>Sopladora de hojas</t>
  </si>
  <si>
    <t>Sonda para inodoro</t>
  </si>
  <si>
    <t>Girador Manual</t>
  </si>
  <si>
    <t>Sonda para fregaderos</t>
  </si>
  <si>
    <t xml:space="preserve">Cortadora de cesped </t>
  </si>
  <si>
    <t>Guadañas</t>
  </si>
  <si>
    <t>Motobombas</t>
  </si>
  <si>
    <t>CONDICIÓN</t>
  </si>
  <si>
    <t>Compra</t>
  </si>
  <si>
    <t>Arrendamiento</t>
  </si>
  <si>
    <t>Desinfectante de alto nivel de desinfección para uso hospitalario</t>
  </si>
  <si>
    <t>CONTROL DE CAMBIOS DE DOCUMENTO</t>
  </si>
  <si>
    <t>VERSIÓN</t>
  </si>
  <si>
    <t>CÓDIGO</t>
  </si>
  <si>
    <t>FECHA</t>
  </si>
  <si>
    <t>DESCRIPCIÓN DE AJUSTES</t>
  </si>
  <si>
    <t>ELABORÓ</t>
  </si>
  <si>
    <t>REVISÓ</t>
  </si>
  <si>
    <t>APROBÓ</t>
  </si>
  <si>
    <t>CCE-GAD-FM</t>
  </si>
  <si>
    <t>Creación del documento</t>
  </si>
  <si>
    <t>Laura Natalia Herrera Copete</t>
  </si>
  <si>
    <t>Sergio Andres Peña Arsitizábal</t>
  </si>
  <si>
    <t>Mayerly López Molinello</t>
  </si>
  <si>
    <t>Contratista</t>
  </si>
  <si>
    <t>Gestor código T1 grado 15</t>
  </si>
  <si>
    <t>Subdirectora de Negocios</t>
  </si>
  <si>
    <t>Nota: El control de cambios en el documento, se refiere a cualquier ajuste que se efectúe sobre el documento que describe la ficha técnica del presente documento</t>
  </si>
  <si>
    <t>COSTO APROXIMADO POLIZAS</t>
  </si>
  <si>
    <t>Dominicales y festivos al año</t>
  </si>
  <si>
    <t>Dominicales y festivos al mes</t>
  </si>
  <si>
    <t>Horas adicionales semana (56H)</t>
  </si>
  <si>
    <t>Horas festivas al mes</t>
  </si>
  <si>
    <t>Horas adicionales semana (52H)</t>
  </si>
  <si>
    <t>Horas extra nocturna o festiva</t>
  </si>
  <si>
    <t>POLIZA SERIEDAD</t>
  </si>
  <si>
    <t>TASA 0,10%</t>
  </si>
  <si>
    <t>Horas a la semana 25</t>
  </si>
  <si>
    <t>Horas al mes con 25 a la semana</t>
  </si>
  <si>
    <t>25%pto</t>
  </si>
  <si>
    <t>Horas a la semana 20</t>
  </si>
  <si>
    <t>Horas al mes con 20 a la semana</t>
  </si>
  <si>
    <t>fijo-gastos</t>
  </si>
  <si>
    <t>iva</t>
  </si>
  <si>
    <t>POLIZA CONTRATO</t>
  </si>
  <si>
    <t>AMPARO</t>
  </si>
  <si>
    <t>PORC</t>
  </si>
  <si>
    <t>VALOR ASEGURADO</t>
  </si>
  <si>
    <t>PLAZO CONTRATO</t>
  </si>
  <si>
    <t>VIGENCIA AMPARO</t>
  </si>
  <si>
    <t>TASA (%)</t>
  </si>
  <si>
    <t>PRIMA ANUAL</t>
  </si>
  <si>
    <t>PRIMA PRORRATA</t>
  </si>
  <si>
    <t>CUMPLIMIENTO</t>
  </si>
  <si>
    <t>CALIDAD</t>
  </si>
  <si>
    <t>SALARIOS</t>
  </si>
  <si>
    <t>PRIMA</t>
  </si>
  <si>
    <t>GASTOS</t>
  </si>
  <si>
    <t>PRIMA MAS IVA</t>
  </si>
  <si>
    <t>RCE</t>
  </si>
  <si>
    <t>TOTAL CONTRATO</t>
  </si>
  <si>
    <t>POL. UNICA Y REC</t>
  </si>
  <si>
    <t>POL. SERIEDAD</t>
  </si>
  <si>
    <t>VALOR TOTAL POLIZAS</t>
  </si>
  <si>
    <t>IMPREVISTOS</t>
  </si>
  <si>
    <t>Vr Mes</t>
  </si>
  <si>
    <t>TOTAL LEGALIZACION</t>
  </si>
  <si>
    <t>PLAZO</t>
  </si>
  <si>
    <t>Valor contrato</t>
  </si>
  <si>
    <t>OPERARIOS</t>
  </si>
  <si>
    <t>No. OPERARIOS</t>
  </si>
  <si>
    <t>1. AIU</t>
  </si>
  <si>
    <t>Porcentaje de AIU</t>
  </si>
  <si>
    <t>2. Servicios Especiales</t>
  </si>
  <si>
    <t>Jardinería</t>
  </si>
  <si>
    <t>3. Personal</t>
  </si>
  <si>
    <t>Rec HE DyF</t>
  </si>
  <si>
    <t>56 H</t>
  </si>
  <si>
    <t>Precio Piso</t>
  </si>
  <si>
    <t>Margen $</t>
  </si>
  <si>
    <t>Margen %</t>
  </si>
  <si>
    <t>Operario de mantenimiento capacitado para trabajo en alturas nivel básico</t>
  </si>
  <si>
    <t>Operario auxiliar capacitado para trabajo en alturas nivel básico</t>
  </si>
  <si>
    <t>Jardinero capacitado para trabajo en alturas nivel básico</t>
  </si>
  <si>
    <t xml:space="preserve">Coordinador de trabajo en alturas nivel básico </t>
  </si>
  <si>
    <t>4. Personal Medio Tiempo</t>
  </si>
  <si>
    <t>A. Insumos</t>
  </si>
  <si>
    <t>REGION 11</t>
  </si>
  <si>
    <t>No</t>
  </si>
  <si>
    <t>Bien o Servicio</t>
  </si>
  <si>
    <t>Costo</t>
  </si>
  <si>
    <t>Precio Piso - 20%</t>
  </si>
  <si>
    <t>Costo anterior</t>
  </si>
  <si>
    <t>Costo anterior jun 2022</t>
  </si>
  <si>
    <t>B. Elementos, equipos y maquinaria</t>
  </si>
  <si>
    <t>EVENTO</t>
  </si>
  <si>
    <t>REGION</t>
  </si>
  <si>
    <t>OPERARIOS TC</t>
  </si>
  <si>
    <t>OPERARIOS MT</t>
  </si>
  <si>
    <t>VIGENCIA</t>
  </si>
  <si>
    <t>MENOR VR</t>
  </si>
  <si>
    <t xml:space="preserve">MARGEN </t>
  </si>
  <si>
    <t xml:space="preserve">Cant. Mtrs 2 </t>
  </si>
  <si>
    <t>Vigencia</t>
  </si>
  <si>
    <t>Precio Mtr 2</t>
  </si>
  <si>
    <t>Total</t>
  </si>
  <si>
    <t>Total Costo</t>
  </si>
  <si>
    <t>SUBTOTAL</t>
  </si>
  <si>
    <t>Cantidad</t>
  </si>
  <si>
    <t>Precio</t>
  </si>
  <si>
    <t>5. Recargos, HE, D y F</t>
  </si>
  <si>
    <t>Recargos, recargos dominicales y festivos y horas extras</t>
  </si>
  <si>
    <t>P Oferta</t>
  </si>
  <si>
    <t>P Piso</t>
  </si>
  <si>
    <t>P Piso-20%</t>
  </si>
  <si>
    <t>% Dcto</t>
  </si>
  <si>
    <t>TOTAL COTIZACION EVENTO</t>
  </si>
  <si>
    <t>Factor gravamen</t>
  </si>
  <si>
    <t>RESUMEN</t>
  </si>
  <si>
    <t>Con gravamen</t>
  </si>
  <si>
    <t>Vr Menor oferta</t>
  </si>
  <si>
    <t>Variaciones</t>
  </si>
  <si>
    <t>PERSONAL</t>
  </si>
  <si>
    <t>RECARGOS, HE, DOMINICALES Y FESTIVOS</t>
  </si>
  <si>
    <t>BIENES DE ASEO Y CAFETERIA</t>
  </si>
  <si>
    <t>IVA</t>
  </si>
  <si>
    <t>TOTAL</t>
  </si>
  <si>
    <t>Margen</t>
  </si>
  <si>
    <t>LOGISTICA</t>
  </si>
  <si>
    <t>POLIZAS DE SEGURO</t>
  </si>
  <si>
    <t>COSTO TOTAL</t>
  </si>
  <si>
    <t>MARGEN NETO</t>
  </si>
  <si>
    <t>MARGEN NETO %</t>
  </si>
  <si>
    <t>CANTIDAD</t>
  </si>
  <si>
    <t xml:space="preserve">Bien </t>
  </si>
  <si>
    <t xml:space="preserve">A. Insumos - Elementos </t>
  </si>
  <si>
    <t>BIENES DE ASEO Y CAFETERIA                    COMPRA Y VENTA</t>
  </si>
  <si>
    <t>BIENES DE ASEO Y CAFETERIA  - COMPRA</t>
  </si>
  <si>
    <t>Precio Piso - 25%</t>
  </si>
  <si>
    <t>VR OFERTADO</t>
  </si>
  <si>
    <t>Bienes de Aseo y Cafetería - Compra</t>
  </si>
  <si>
    <t>A. Insumos-Elementos</t>
  </si>
  <si>
    <t>Bienes de Aseo y Cafetería                   Compra y Venta</t>
  </si>
  <si>
    <t>P Piso-25%</t>
  </si>
  <si>
    <t>SERVICIO ESPECIAL - JARDINERIA</t>
  </si>
  <si>
    <t>Fact grav jard</t>
  </si>
  <si>
    <t>Condicion</t>
  </si>
  <si>
    <t>Precio P</t>
  </si>
  <si>
    <t>Total Ofertado</t>
  </si>
  <si>
    <t>Total costo</t>
  </si>
  <si>
    <t>Perdida</t>
  </si>
  <si>
    <t>SERVILIMPIEZA S.A.</t>
  </si>
  <si>
    <t>COSTO POR OPERARIO MENSUAL AÑO 2023</t>
  </si>
  <si>
    <t>TURNO DE LUNES A SÁBADO - 48 HORAS A LA SEMANA</t>
  </si>
  <si>
    <t>PORCENTAJE APLICADO</t>
  </si>
  <si>
    <t>COSTO  OPERARIO ASEO Y CAFETERIA</t>
  </si>
  <si>
    <t>HORAS SEMANALES</t>
  </si>
  <si>
    <t>LIQUIDACION</t>
  </si>
  <si>
    <t>SUELDO BASICO</t>
  </si>
  <si>
    <t>AUXILIO DE TRANSPORTE</t>
  </si>
  <si>
    <t>HORA NORMAL</t>
  </si>
  <si>
    <t>RECARGO NOCTURNO</t>
  </si>
  <si>
    <t>HORA EXTRA DIURNA</t>
  </si>
  <si>
    <t>HORA EXTRA NOCTURNA</t>
  </si>
  <si>
    <t>HORA DOMINICAL/FESTIVA DIURNA</t>
  </si>
  <si>
    <t>HORA EXTRA FESTIVA DIURNA</t>
  </si>
  <si>
    <t>HORA DOMINICAL/FESTIVA NOCTURNA</t>
  </si>
  <si>
    <t>HORA EXTRA FESTIVA NOCTURNA</t>
  </si>
  <si>
    <t>RECARGO DOMINICAL Y FESTIVO</t>
  </si>
  <si>
    <t>festivos en el mes</t>
  </si>
  <si>
    <t>domingos en el mes</t>
  </si>
  <si>
    <t>Total festivos y domingos</t>
  </si>
  <si>
    <t>No. Horas dia</t>
  </si>
  <si>
    <t>Total Horas mes</t>
  </si>
  <si>
    <t>SUBSIDIO DE TRANSPORTE</t>
  </si>
  <si>
    <t xml:space="preserve"> </t>
  </si>
  <si>
    <t>EPPS</t>
  </si>
  <si>
    <t>PRESTACIONES SOCIALES</t>
  </si>
  <si>
    <t>Carnet</t>
  </si>
  <si>
    <t>CESANTIAS  (30/360)%</t>
  </si>
  <si>
    <t>Examenes</t>
  </si>
  <si>
    <t>INTERESES DE CESANTIAS  (12%/12)</t>
  </si>
  <si>
    <t>Dotacion</t>
  </si>
  <si>
    <t>PRIMA DE SERVICIOS (30/360)%</t>
  </si>
  <si>
    <t>Tapabocas</t>
  </si>
  <si>
    <t>VACACIONES ((15/360)+((15/360)x(9+22,57)%))</t>
  </si>
  <si>
    <t>Cofia</t>
  </si>
  <si>
    <t>TOTAL PRESTACIONES SOCIALES</t>
  </si>
  <si>
    <t>Monogafas</t>
  </si>
  <si>
    <t>CAJA DE COMPENSACION FAMILIAR</t>
  </si>
  <si>
    <t>Capas</t>
  </si>
  <si>
    <t>I.C.B.F.</t>
  </si>
  <si>
    <t>Guantes</t>
  </si>
  <si>
    <t>SENA</t>
  </si>
  <si>
    <t>Botas</t>
  </si>
  <si>
    <t>TOTAL APORTES PARAFISCALES</t>
  </si>
  <si>
    <t>E.G.M. (EPS):  8,5% (deveng)</t>
  </si>
  <si>
    <t xml:space="preserve">I.V.M. (PENSIONES) (15,5%(deveng) x 75%) </t>
  </si>
  <si>
    <r>
      <t xml:space="preserve">ATEP (ARP): </t>
    </r>
    <r>
      <rPr>
        <sz val="10"/>
        <rFont val="Arial"/>
        <family val="2"/>
      </rPr>
      <t>Depende de la Actividad</t>
    </r>
  </si>
  <si>
    <t>TOTAL SALUD, PENSION Y ARP</t>
  </si>
  <si>
    <t>Con dotacion</t>
  </si>
  <si>
    <t>TOTAL PRESTACIONES Y APORTES</t>
  </si>
  <si>
    <t>Sin dotacion</t>
  </si>
  <si>
    <t>SUBTOTAL SALARIO MENSUAL</t>
  </si>
  <si>
    <t>COMPENSATORIO</t>
  </si>
  <si>
    <t>Impacto recargos DF</t>
  </si>
  <si>
    <t>SUBTOTAL COSTO CON COMPENSATORIO</t>
  </si>
  <si>
    <t>COSTOS INDIRECTOS</t>
  </si>
  <si>
    <t>Costo sin recargos</t>
  </si>
  <si>
    <t>Impacto prestacional</t>
  </si>
  <si>
    <t>%</t>
  </si>
  <si>
    <t>DOTACION</t>
  </si>
  <si>
    <t>No. Operarios TC</t>
  </si>
  <si>
    <t>LEGALIZACION</t>
  </si>
  <si>
    <t>Plazo</t>
  </si>
  <si>
    <t>EQUIPOS e INSUMOS</t>
  </si>
  <si>
    <t>Total Recargos D y F</t>
  </si>
  <si>
    <t>BONIFICACIÓN</t>
  </si>
  <si>
    <t>Impacto prestacional HE</t>
  </si>
  <si>
    <t>SUBTOTAL CON COSTOS INDIRECTOS</t>
  </si>
  <si>
    <t xml:space="preserve">No. Operarios </t>
  </si>
  <si>
    <t>A.I.U</t>
  </si>
  <si>
    <t>TOTAL PRECIO ANTES DE IVA</t>
  </si>
  <si>
    <t>Total Horas extras</t>
  </si>
  <si>
    <t>Total recargos y HE</t>
  </si>
  <si>
    <t>GRAN TOTAL PRECIO UNITARIO OPERARIO</t>
  </si>
  <si>
    <t xml:space="preserve">FECHA: </t>
  </si>
  <si>
    <t xml:space="preserve">PARA: </t>
  </si>
  <si>
    <r>
      <rPr>
        <b/>
        <sz val="11"/>
        <color indexed="8"/>
        <rFont val="Calibri"/>
        <family val="2"/>
      </rPr>
      <t>DE</t>
    </r>
    <r>
      <rPr>
        <sz val="11"/>
        <color theme="1"/>
        <rFont val="Calibri"/>
        <family val="2"/>
        <scheme val="minor"/>
      </rPr>
      <t>:</t>
    </r>
  </si>
  <si>
    <t>ASUNTO:</t>
  </si>
  <si>
    <t>PERFIL</t>
  </si>
  <si>
    <t>VALOR UNITARIO</t>
  </si>
  <si>
    <t>VALOR TOTAL</t>
  </si>
  <si>
    <t>PRECIO MENOR</t>
  </si>
  <si>
    <t>VARIABLES</t>
  </si>
  <si>
    <t>GRAVAMENES</t>
  </si>
  <si>
    <t xml:space="preserve">RECARGOS </t>
  </si>
  <si>
    <t>HORAS EXTRAS</t>
  </si>
  <si>
    <t>DOTACION ESPECIAL</t>
  </si>
  <si>
    <t>JARDINERIA</t>
  </si>
  <si>
    <t>OPERARIOS MANTENIMIENTO</t>
  </si>
  <si>
    <t>OPERARIOS MANTENIMIENTO - ALTURAS</t>
  </si>
  <si>
    <t>JARDINERO</t>
  </si>
  <si>
    <t>JARDINERO - ALTURAS</t>
  </si>
  <si>
    <t>SI/NO</t>
  </si>
  <si>
    <t>PLANTILLA COSTEO AMP IV</t>
  </si>
  <si>
    <t>COSTO PERSONAL AMP IV</t>
  </si>
  <si>
    <t>Mts2 Mes</t>
  </si>
  <si>
    <t>Vr. Unit Mt2</t>
  </si>
  <si>
    <t>Opcion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</si>
  <si>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</si>
  <si>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</si>
  <si>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</si>
  <si>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</si>
  <si>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</si>
  <si>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</si>
  <si>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</si>
  <si>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</si>
  <si>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</si>
  <si>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</si>
  <si>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</si>
  <si>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</si>
  <si>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</si>
  <si>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</si>
  <si>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</si>
  <si>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</si>
  <si>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</si>
  <si>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</si>
  <si>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Costo 24 H</t>
  </si>
  <si>
    <t>Precio Oferta</t>
  </si>
  <si>
    <t>LOGISTICA y OTROS COSTOS</t>
  </si>
  <si>
    <t>TRANSPORTE</t>
  </si>
  <si>
    <t>HERRAMIENTAS-EQUIPOS</t>
  </si>
  <si>
    <t>OTROS</t>
  </si>
  <si>
    <t>LOGISTICA Y OTROS COSTOS</t>
  </si>
  <si>
    <t>VALOR</t>
  </si>
  <si>
    <t>Gravamenes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</si>
  <si>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</si>
  <si>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</si>
  <si>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</si>
  <si>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</si>
  <si>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</si>
  <si>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</si>
  <si>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</si>
  <si>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</si>
  <si>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</si>
  <si>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</si>
  <si>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</si>
  <si>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</si>
  <si>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</si>
  <si>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Region 14</t>
  </si>
  <si>
    <t>Region 15</t>
  </si>
  <si>
    <t>Region 16</t>
  </si>
  <si>
    <t>Region 17</t>
  </si>
  <si>
    <t>Region 18</t>
  </si>
  <si>
    <t>Columna Matriz</t>
  </si>
  <si>
    <t>No Columna</t>
  </si>
  <si>
    <t>Jabón para loza 1 (Compra)</t>
  </si>
  <si>
    <t>Jabón para loza 2 (Compra)</t>
  </si>
  <si>
    <t>Jabón para loza 3 (Compra)</t>
  </si>
  <si>
    <t>Jabón para loza 4 (Compra)</t>
  </si>
  <si>
    <t>Jabón en barra (Compra)</t>
  </si>
  <si>
    <t>Jabón en barra azul (Compra)</t>
  </si>
  <si>
    <t>Jabón abrasivo (Compra)</t>
  </si>
  <si>
    <t>Jabón de tocador 1 (Compra)</t>
  </si>
  <si>
    <t>Jabón de tocador 2 (Compra)</t>
  </si>
  <si>
    <t>Jabón de dispensador para manos 1 (Compra)</t>
  </si>
  <si>
    <t>Jabón de dispensador para manos 2 (Compra)</t>
  </si>
  <si>
    <t>Jabón de dispensador para manos 3 (Compra)</t>
  </si>
  <si>
    <t>Gel antibacterial para manos (Compra)</t>
  </si>
  <si>
    <t>Dispensador de gel antibacterial para manos (Compra)</t>
  </si>
  <si>
    <t>Limpiador multiusos 1 (Compra)</t>
  </si>
  <si>
    <t>Limpiador multiusos 2 (Compra)</t>
  </si>
  <si>
    <t>Limpiador multiusos 3 (Compra)</t>
  </si>
  <si>
    <t>Limpiador desinfectante para pisos (Compra)</t>
  </si>
  <si>
    <t>Líquido desengrasante (Compra)</t>
  </si>
  <si>
    <t>Crema desengrasante (Compra)</t>
  </si>
  <si>
    <t>Detergente multiusos en polvo (Compra)</t>
  </si>
  <si>
    <t>Limpiador desinfectante para uso general 1 (Compra)</t>
  </si>
  <si>
    <t>Limpiador desinfectante para uso general 2 (Compra)</t>
  </si>
  <si>
    <t>Limpiador desinfectante para uso general 3 (Compra)</t>
  </si>
  <si>
    <t>Desinfectante de alto nivel de desinfección para uso hospitalario (Compra)</t>
  </si>
  <si>
    <t>Pastilla desinfectante para sanitario (Compra)</t>
  </si>
  <si>
    <t>Líquido para limpiar vidrios 1 (Compra)</t>
  </si>
  <si>
    <t>Líquido para limpiar vidrios 2 (Compra)</t>
  </si>
  <si>
    <t>Líquido para limpiar vidrios 3 (Compra)</t>
  </si>
  <si>
    <t>Blanqueador o hipoclorito 1 (Compra)</t>
  </si>
  <si>
    <t>Blanqueador o hipoclorito 2 (Compra)</t>
  </si>
  <si>
    <t>Blanqueador o hipoclorito 3 (Compra)</t>
  </si>
  <si>
    <t>Alcohol industrial 1 (Compra)</t>
  </si>
  <si>
    <t>Alcohol industrial 2 (Compra)</t>
  </si>
  <si>
    <t>Creolina 1 (Compra)</t>
  </si>
  <si>
    <t>Creolina 2 (Compra)</t>
  </si>
  <si>
    <t>Líquido para limpiar equipos de oficina 1 (Compra)</t>
  </si>
  <si>
    <t>Líquido para limpiar equipos de oficina 2 (Compra)</t>
  </si>
  <si>
    <t>Champú para alfombras y tapizados 1 (Compra)</t>
  </si>
  <si>
    <t>Champú para alfombras y tapizados 2 (Compra)</t>
  </si>
  <si>
    <t>Lustrador de muebles (Compra)</t>
  </si>
  <si>
    <t>Líquido cubre rasguños para madera (Compra)</t>
  </si>
  <si>
    <t>Crema para cuero (Compra)</t>
  </si>
  <si>
    <t>Cera polimérica (Compra)</t>
  </si>
  <si>
    <t>Cera emulsionada Neutra (Compra)</t>
  </si>
  <si>
    <t>Cera emulsionada roja (Compra)</t>
  </si>
  <si>
    <t>Cera solvente (Compra)</t>
  </si>
  <si>
    <t>Sellante para pisos (Compra)</t>
  </si>
  <si>
    <t>Mantenedor de pisos (Compra)</t>
  </si>
  <si>
    <t>Removedor de cera (Compra)</t>
  </si>
  <si>
    <t>Abrillantador para piso laminado (Compra)</t>
  </si>
  <si>
    <t>Jabón neutro para pisos 1 (Compra)</t>
  </si>
  <si>
    <t>Jabón neutro para pisos 2 (Compra)</t>
  </si>
  <si>
    <t>Varsol  ecológico 1 (Compra)</t>
  </si>
  <si>
    <t>Varsol ecológico 2 (Compra)</t>
  </si>
  <si>
    <t>Desmanchador multiusos (Compra)</t>
  </si>
  <si>
    <t>Brillametal en crema (Compra)</t>
  </si>
  <si>
    <t>Brillametal líquido (Compra)</t>
  </si>
  <si>
    <t>Betún (Compra)</t>
  </si>
  <si>
    <t>Ambientador 1 (Compra)</t>
  </si>
  <si>
    <t>Ambientador 2 (Compra)</t>
  </si>
  <si>
    <t>Insecticida 1 (Compra)</t>
  </si>
  <si>
    <t>Insecticida 2 (Compra)</t>
  </si>
  <si>
    <t>Limpiones 1 (Compra)</t>
  </si>
  <si>
    <t>Limpiones 2 (Compra)</t>
  </si>
  <si>
    <t>Limpiones 3 (Compra)</t>
  </si>
  <si>
    <t>Limpiones 4 (Compra)</t>
  </si>
  <si>
    <t>Limpiones 5 (Compra)</t>
  </si>
  <si>
    <t>Bayetilla 1 (Compra)</t>
  </si>
  <si>
    <t>Bayetilla 2 (Compra)</t>
  </si>
  <si>
    <t>Toalla en tela blanca para pisos por metro (repuesto de haraganes) (Compra)</t>
  </si>
  <si>
    <t>Paño absorbente multiusos 1 (Compra)</t>
  </si>
  <si>
    <t>Paño absorbente multiusos 2 (Compra)</t>
  </si>
  <si>
    <t>Estopa (Compra)</t>
  </si>
  <si>
    <t>Esponjilla 1 (Compra)</t>
  </si>
  <si>
    <t>Esponjilla 2 (Compra)</t>
  </si>
  <si>
    <t>Esponjilla 3 (Compra)</t>
  </si>
  <si>
    <t>Esponjilla 4 (Compra)</t>
  </si>
  <si>
    <t>Esponjilla 5 (Compra)</t>
  </si>
  <si>
    <t>Esponjilla 6 (Compra)</t>
  </si>
  <si>
    <t>Esponjilla 7 (Compra)</t>
  </si>
  <si>
    <t>Escoba 1 (Compra)</t>
  </si>
  <si>
    <t>Escoba 2 (Compra)</t>
  </si>
  <si>
    <t>Escoba 3 (Compra)</t>
  </si>
  <si>
    <t>Escoba 4 (Compra)</t>
  </si>
  <si>
    <t>Escoba 5 (Compra)</t>
  </si>
  <si>
    <t>Mango metálico escoba 1 (Compra)</t>
  </si>
  <si>
    <t>Mango madera escoba 1 (Compra)</t>
  </si>
  <si>
    <t>Cepillos 1 (Compra)</t>
  </si>
  <si>
    <t>Cepillos 2 (Compra)</t>
  </si>
  <si>
    <t>Cepillos 3 (Compra)</t>
  </si>
  <si>
    <t>Trapero 1 (Compra)</t>
  </si>
  <si>
    <t>Trapero 2 (Compra)</t>
  </si>
  <si>
    <t>Trapero 3 (Compra)</t>
  </si>
  <si>
    <t>Trapero 4 (Compra)</t>
  </si>
  <si>
    <t>Mango metálico trapero (Compra)</t>
  </si>
  <si>
    <t>Mango madera trapero (Compra)</t>
  </si>
  <si>
    <t>Cepillo para sanitario (churrusco) (Compra)</t>
  </si>
  <si>
    <t>Pads 1 (Compra)</t>
  </si>
  <si>
    <t>Pads 2 (Compra)</t>
  </si>
  <si>
    <t>Pads 3 (Compra)</t>
  </si>
  <si>
    <t>Pads 4 (Compra)</t>
  </si>
  <si>
    <t>Pads 5 (Compra)</t>
  </si>
  <si>
    <t>Boneth 1 (Compra)</t>
  </si>
  <si>
    <t>Boneth 2 (Compra)</t>
  </si>
  <si>
    <t>Bolsas plásticas 1 (Compra)</t>
  </si>
  <si>
    <t>Bolsas plásticas 2 (Compra)</t>
  </si>
  <si>
    <t>Bolsas plásticas 3 (Compra)</t>
  </si>
  <si>
    <t>Bolsas plásticas 4 (Compra)</t>
  </si>
  <si>
    <t>Bolsas plásticas 5 (Compra)</t>
  </si>
  <si>
    <t>Bolsas plásticas 7 (Compra)</t>
  </si>
  <si>
    <t>Bolsas plásticas 8 (Compra)</t>
  </si>
  <si>
    <t>Bolsas plásticas 9 (Compra)</t>
  </si>
  <si>
    <t>Bolsas plásticas 10 (Compra)</t>
  </si>
  <si>
    <t>Bolsas plásticas 11 (Compra)</t>
  </si>
  <si>
    <t>Bolsas plásticas 12 (Compra)</t>
  </si>
  <si>
    <t>Bolsas plásticas 14 (Compra)</t>
  </si>
  <si>
    <t>Bolsas plásticas 15 (Compra)</t>
  </si>
  <si>
    <t>Bolsas plásticas 16 (Compra)</t>
  </si>
  <si>
    <t>Bolsas plásticas 17 (Compra)</t>
  </si>
  <si>
    <t>Bolsas plásticas 18 (Compra)</t>
  </si>
  <si>
    <t>Bolsas plásticas 19 (Compra)</t>
  </si>
  <si>
    <t>Bolsas plásticas 20 (Compra)</t>
  </si>
  <si>
    <t>Bolsas plásticas 21 (Compra)</t>
  </si>
  <si>
    <t>Bolsas plásticas 22 (Compra)</t>
  </si>
  <si>
    <t>Bolsas plásticas 23 (Compra)</t>
  </si>
  <si>
    <t>Bolsas plásticas 24 (Compra)</t>
  </si>
  <si>
    <t>Bolsas plásticas 25 (Compra)</t>
  </si>
  <si>
    <t>Bolsas plásticas 26 (Compra)</t>
  </si>
  <si>
    <t>Guantes 1 (Compra)</t>
  </si>
  <si>
    <t>Guantes 2 (Compra)</t>
  </si>
  <si>
    <t>Guantes 3 (Compra)</t>
  </si>
  <si>
    <t>Guantes 4 (Compra)</t>
  </si>
  <si>
    <t>Guantes 5 (Compra)</t>
  </si>
  <si>
    <t>Guantes 6 (Compra)</t>
  </si>
  <si>
    <t>Guantes 7 (Compra)</t>
  </si>
  <si>
    <t>Guantes 8 (Compra)</t>
  </si>
  <si>
    <t>Guantes 9 (Compra)</t>
  </si>
  <si>
    <t>Tapabocas 1 (Compra)</t>
  </si>
  <si>
    <t>Tapabocas 2 (Compra)</t>
  </si>
  <si>
    <t>Papel higiénico 1 (Compra)</t>
  </si>
  <si>
    <t>Papel higiénico 2 (Compra)</t>
  </si>
  <si>
    <t>Papel higiénico 3 (Compra)</t>
  </si>
  <si>
    <t>Papel higiénico 4 (Compra)</t>
  </si>
  <si>
    <t>Papel higiénico 5 (Compra)</t>
  </si>
  <si>
    <t>Toallas para manos 1 (Compra)</t>
  </si>
  <si>
    <t>Toallas para manos 2 (Compra)</t>
  </si>
  <si>
    <t>Toallas para manos 3 (Compra)</t>
  </si>
  <si>
    <t>Toallas para manos 4 (Compra)</t>
  </si>
  <si>
    <t>Toallas para manos 5 (Compra)</t>
  </si>
  <si>
    <t>Toallas para manos 6 (Compra)</t>
  </si>
  <si>
    <t>Toallas para manos 7 (Compra)</t>
  </si>
  <si>
    <t>Toallas para manos 8 (Compra)</t>
  </si>
  <si>
    <t>Pañuelos (Compra)</t>
  </si>
  <si>
    <t>Vasos biodegradables 1 (Compra)</t>
  </si>
  <si>
    <t>Vasos biodegradables 2 (Compra)</t>
  </si>
  <si>
    <t>Vasos biodegradables 3 (Compra)</t>
  </si>
  <si>
    <t>Vasos biodegradables 4 (Compra)</t>
  </si>
  <si>
    <t>Mezclador 1 (Compra)</t>
  </si>
  <si>
    <t>Servilleta papel (Compra)</t>
  </si>
  <si>
    <t>Filtro para greca 1 (Compra)</t>
  </si>
  <si>
    <t>Filtro para greca 2 (Compra)</t>
  </si>
  <si>
    <t>Filtro para greca 3 (Compra)</t>
  </si>
  <si>
    <t>Churrusco para tubos de greca (Compra)</t>
  </si>
  <si>
    <t>Papel Aluminio 1 (Compra)</t>
  </si>
  <si>
    <t>Papel Aluminio 2 (Compra)</t>
  </si>
  <si>
    <t>Película transparente para alimentos (Compra)</t>
  </si>
  <si>
    <t>Termo para café 1 (Compra)</t>
  </si>
  <si>
    <t>Termo para café 2 (Compra)</t>
  </si>
  <si>
    <t>Café 1 (Compra)</t>
  </si>
  <si>
    <t>Café 2 (Compra)</t>
  </si>
  <si>
    <t>Café 3 (Compra)</t>
  </si>
  <si>
    <t>Café Social (Compra)</t>
  </si>
  <si>
    <t>Crema para café (Compra)</t>
  </si>
  <si>
    <t>Azúcar 1 (Compra)</t>
  </si>
  <si>
    <t>Azúcar 2 (Compra)</t>
  </si>
  <si>
    <t>Azúcar 3 (Compra)</t>
  </si>
  <si>
    <t>Azúcar 4 (Compra)</t>
  </si>
  <si>
    <t>Endulzante (Compra)</t>
  </si>
  <si>
    <t>Panela (Compra)</t>
  </si>
  <si>
    <t>Sal 1 (Compra)</t>
  </si>
  <si>
    <t>Sal 2 (Compra)</t>
  </si>
  <si>
    <t>Sal 3 (Compra)</t>
  </si>
  <si>
    <t>Aromática (Compra)</t>
  </si>
  <si>
    <t>Aromática de panela (Compra)</t>
  </si>
  <si>
    <t>Bebida de frutas (Compra)</t>
  </si>
  <si>
    <t>Bebida de panela (Compra)</t>
  </si>
  <si>
    <t>Té (Compra)</t>
  </si>
  <si>
    <t>Infusión frutal (Compra)</t>
  </si>
  <si>
    <t>Agua potable 1 (Compra)</t>
  </si>
  <si>
    <t>Agua potable 2 (Compra)</t>
  </si>
  <si>
    <t>Agua potable 3 (Compra)</t>
  </si>
  <si>
    <t>Agua potable 4 (Compra)</t>
  </si>
  <si>
    <t>Válvula dispensadora para botellón de agua (Compra)</t>
  </si>
  <si>
    <t>Servilleta de tela (Compra)</t>
  </si>
  <si>
    <t>Cepillo para paredes y techos (Compra)</t>
  </si>
  <si>
    <t>Brillador 1 (Compra)</t>
  </si>
  <si>
    <t>Brillador 2 (Compra)</t>
  </si>
  <si>
    <t>Repuestos brillador 1 (Compra)</t>
  </si>
  <si>
    <t>Repuestos brillador 2 (Compra)</t>
  </si>
  <si>
    <t>Destapador para sanitario (chupa) (Compra)</t>
  </si>
  <si>
    <t>Plumero o limpia polvo (Compra)</t>
  </si>
  <si>
    <t>Rastrillo 1 (Compra)</t>
  </si>
  <si>
    <t>Rastrillo 2 (Compra)</t>
  </si>
  <si>
    <t>Recogedor de basura 1 (Compra)</t>
  </si>
  <si>
    <t>Recogedor de basura 2 (Compra)</t>
  </si>
  <si>
    <t>Atomizadores (Compra)</t>
  </si>
  <si>
    <t>Caneca para almacenar ropa sucia  (Arrendamiento)</t>
  </si>
  <si>
    <t>Caneca para almacenar ropa sucia  (Compra)</t>
  </si>
  <si>
    <t>Vasos  1 (Arrendamiento)</t>
  </si>
  <si>
    <t>Vasos  1 (Compra)</t>
  </si>
  <si>
    <t>Vasos  2 (Arrendamiento)</t>
  </si>
  <si>
    <t>Vasos  2 (Compra)</t>
  </si>
  <si>
    <t>Cuchara  (Compra)</t>
  </si>
  <si>
    <t>Tenedor  (Compra)</t>
  </si>
  <si>
    <t>Cuchillo  (Compra)</t>
  </si>
  <si>
    <t>Cuchara pequeña  (Compra)</t>
  </si>
  <si>
    <t>Platos  1 (Arrendamiento)</t>
  </si>
  <si>
    <t>Platos  1 (Compra)</t>
  </si>
  <si>
    <t>Platos  2 (Arrendamiento)</t>
  </si>
  <si>
    <t>Platos  2 (Compra)</t>
  </si>
  <si>
    <t>Platos  3 (Arrendamiento)</t>
  </si>
  <si>
    <t>Platos  3 (Compra)</t>
  </si>
  <si>
    <t>Platos  4 (Arrendamiento)</t>
  </si>
  <si>
    <t>Platos  4 (Compra)</t>
  </si>
  <si>
    <t>Platos  5 (Arrendamiento)</t>
  </si>
  <si>
    <t>Platos  5 (Compra)</t>
  </si>
  <si>
    <t>Pocillos  (Arrendamiento)</t>
  </si>
  <si>
    <t>Pocillos  (Compra)</t>
  </si>
  <si>
    <t>Juego de cubiertos  (Compra)</t>
  </si>
  <si>
    <t>Terno para café (Arrendamiento)</t>
  </si>
  <si>
    <t>Terno para café (Compra)</t>
  </si>
  <si>
    <t>Vajilla  1 (Arrendamiento)</t>
  </si>
  <si>
    <t>Vajilla  1 (Compra)</t>
  </si>
  <si>
    <t>Vajilla  2 (Arrendamiento)</t>
  </si>
  <si>
    <t>Vajilla  2 (Compra)</t>
  </si>
  <si>
    <t>Cuchillo de cocina  (Compra)</t>
  </si>
  <si>
    <t>Tijeras de cocina  (Compra)</t>
  </si>
  <si>
    <t>Jarra  (Arrendamiento)</t>
  </si>
  <si>
    <t>Jarra  (Compra)</t>
  </si>
  <si>
    <t>Combustible para Cortadora de césped, sopladora de hojas y guadañas (Compra)</t>
  </si>
  <si>
    <t>Organizador  porta escobas  (Compra)</t>
  </si>
  <si>
    <t>Espátula  (Compra)</t>
  </si>
  <si>
    <t>Haraganes 1  (Compra)</t>
  </si>
  <si>
    <t>Haraganes 2  (Compra)</t>
  </si>
  <si>
    <t>Haraganes 3  (Compra)</t>
  </si>
  <si>
    <t>Haraganes 4  (Compra)</t>
  </si>
  <si>
    <t>Balde (Arrendamiento)</t>
  </si>
  <si>
    <t>Balde (Compra)</t>
  </si>
  <si>
    <t>Plato Biodegradable 1 (Compra)</t>
  </si>
  <si>
    <t>Plato Biodegradable 2 (Compra)</t>
  </si>
  <si>
    <t>Terno para café  (Arrendamiento)</t>
  </si>
  <si>
    <t>Terno para café  (Compra)</t>
  </si>
  <si>
    <t>Cafetera 1 (Arrendamiento)</t>
  </si>
  <si>
    <t>Cafetera 1 (Compra)</t>
  </si>
  <si>
    <t>Portavasos (Arrendamiento)</t>
  </si>
  <si>
    <t>Portavasos (Compra)</t>
  </si>
  <si>
    <t>Bandeja 1 (Arrendamiento)</t>
  </si>
  <si>
    <t>Bandeja 1 (Compra)</t>
  </si>
  <si>
    <t>Bandeja 2 (Arrendamiento)</t>
  </si>
  <si>
    <t>Bandeja 2 (Compra)</t>
  </si>
  <si>
    <t>Bandeja 3 (Arrendamiento)</t>
  </si>
  <si>
    <t>Bandeja 3 (Compra)</t>
  </si>
  <si>
    <t>Bandeja 4 (Arrendamiento)</t>
  </si>
  <si>
    <t>Bandeja 4 (Compra)</t>
  </si>
  <si>
    <t>Olleta (Arrendamiento)</t>
  </si>
  <si>
    <t>Olleta (Compra)</t>
  </si>
  <si>
    <t>Olla 1 (Arrendamiento)</t>
  </si>
  <si>
    <t>Olla 1 (Compra)</t>
  </si>
  <si>
    <t>Olla 2 (Arrendamiento)</t>
  </si>
  <si>
    <t>Olla 2 (Compra)</t>
  </si>
  <si>
    <t>Escurridor para platos (Arrendamiento)</t>
  </si>
  <si>
    <t>Escurridor para platos (Compra)</t>
  </si>
  <si>
    <t>Soporte para Botellón de agua (Compra)</t>
  </si>
  <si>
    <t>Carro exprimidor de trapero 1 (Arrendamiento)</t>
  </si>
  <si>
    <t>Carro exprimidor de trapero 1 (Compra)</t>
  </si>
  <si>
    <t>Carro exprimidor de trapero 2 (Arrendamiento)</t>
  </si>
  <si>
    <t>Carro exprimidor de trapero 2 (Compra)</t>
  </si>
  <si>
    <t>Carros para limpieza (Arrendamiento)</t>
  </si>
  <si>
    <t>Carros para limpieza (Compra)</t>
  </si>
  <si>
    <t>Carro de bebidas (Arrendamiento)</t>
  </si>
  <si>
    <t>Carro de bebidas (Compra)</t>
  </si>
  <si>
    <t>Escalera 1 (Arrendamiento)</t>
  </si>
  <si>
    <t>Escalera 1 (Compra)</t>
  </si>
  <si>
    <t>Escalera 2 (Arrendamiento)</t>
  </si>
  <si>
    <t>Escalera 2 (Compra)</t>
  </si>
  <si>
    <t>Escalera 3 (Arrendamiento)</t>
  </si>
  <si>
    <t>Escalera 3 (Compra)</t>
  </si>
  <si>
    <t>Escalera 4 (Arrendamiento)</t>
  </si>
  <si>
    <t>Escalera 4 (Compra)</t>
  </si>
  <si>
    <t>Escalera de tipo industrial (Arrendamiento)</t>
  </si>
  <si>
    <t>Escalera de tipo industrial (Compra)</t>
  </si>
  <si>
    <t>Mangueras 1 (Arrendamiento)</t>
  </si>
  <si>
    <t>Mangueras 1 (Compra)</t>
  </si>
  <si>
    <t>Mangueras 2 (Arrendamiento)</t>
  </si>
  <si>
    <t>Mangueras 2 (Compra)</t>
  </si>
  <si>
    <t>Mangueras 3 (Arrendamiento)</t>
  </si>
  <si>
    <t>Mangueras 3 (Compra)</t>
  </si>
  <si>
    <t>Contenedor de basura 1 (Compra)</t>
  </si>
  <si>
    <t>Contenedor de basura 2 (Compra)</t>
  </si>
  <si>
    <t>Contenedor de basura 3 (Compra)</t>
  </si>
  <si>
    <t>Contenedor de basura 4 (Compra)</t>
  </si>
  <si>
    <t>Contenedor de basura 5 (Compra)</t>
  </si>
  <si>
    <t>Contenedor de basura 6 (Compra)</t>
  </si>
  <si>
    <t>Contenedor de basura 7 (Compra)</t>
  </si>
  <si>
    <t>Contenedor de basura 8 (Compra)</t>
  </si>
  <si>
    <t>Contenedor de basura 9 (Compra)</t>
  </si>
  <si>
    <t>Contenedor de basura 10 (Compra)</t>
  </si>
  <si>
    <t>Contenedor de basura 11 (Compra)</t>
  </si>
  <si>
    <t>Contenedor de basura 12 (Compra)</t>
  </si>
  <si>
    <t>Contenedor de basura 13 (Compra)</t>
  </si>
  <si>
    <t>Contenedor de basura 14 (Compra)</t>
  </si>
  <si>
    <t>Contenedor de basura 15 (Compra)</t>
  </si>
  <si>
    <t>Contenedor de basura 16 (Compra)</t>
  </si>
  <si>
    <t>Contenedor de basura 17 (Compra)</t>
  </si>
  <si>
    <t>Contenedor de basura 18 (Compra)</t>
  </si>
  <si>
    <t>Contenedor de basura 19 (Compra)</t>
  </si>
  <si>
    <t>Contenedor de basura 20 (Compra)</t>
  </si>
  <si>
    <t>Contenedor de basura 21 (Compra)</t>
  </si>
  <si>
    <t>Contenedor de basura 22 (Compra)</t>
  </si>
  <si>
    <t>Contenedor de basura 23 (Compra)</t>
  </si>
  <si>
    <t>Contenedor de basura 24 (Compra)</t>
  </si>
  <si>
    <t>Contenedor de basura 25 (Compra)</t>
  </si>
  <si>
    <t>Contenedor de basura 26 (Compra)</t>
  </si>
  <si>
    <t>Contenedor de basura 27 (Compra)</t>
  </si>
  <si>
    <t>Contenedor de basura 28 (Compra)</t>
  </si>
  <si>
    <t>Contenedor de basura 29 (Compra)</t>
  </si>
  <si>
    <t>Contenedor de basura 30 (Compra)</t>
  </si>
  <si>
    <t>Punto Ecológico 1 (Compra)</t>
  </si>
  <si>
    <t>Punto Ecológico 2 (Compra)</t>
  </si>
  <si>
    <t>Punto Ecológico 3 (Compra)</t>
  </si>
  <si>
    <t>Punto Ecológico 4 (Compra)</t>
  </si>
  <si>
    <t>Punto Ecológico 5 (Compra)</t>
  </si>
  <si>
    <t>Punto Ecológico 6 (Compra)</t>
  </si>
  <si>
    <t>Papelera 1 (Compra)</t>
  </si>
  <si>
    <t>Papelera 2 (Compra)</t>
  </si>
  <si>
    <t>Papelera 3 (Compra)</t>
  </si>
  <si>
    <t>Papelera 4 (Compra)</t>
  </si>
  <si>
    <t>Papelera residuos peligrosos 1 (Compra)</t>
  </si>
  <si>
    <t>Papelera residuos peligrosos 2 (Compra)</t>
  </si>
  <si>
    <t>Señales peatonales de prevención y atención 1 (Compra)</t>
  </si>
  <si>
    <t>Señales peatonales de prevención y atención 2 (Compra)</t>
  </si>
  <si>
    <t>Señales peatonales de prevención y atención 3 (Compra)</t>
  </si>
  <si>
    <t>Dispensador para papel higiénico 1 (Compra)</t>
  </si>
  <si>
    <t>Dispensador para papel higiénico 2 (Compra)</t>
  </si>
  <si>
    <t>Dispensador de toallas de manos 1 (Compra)</t>
  </si>
  <si>
    <t>Dispensador de toallas de manos 2 (Compra)</t>
  </si>
  <si>
    <t>Dispensador de toallas de manos 3 (Compra)</t>
  </si>
  <si>
    <t>Dispensador de jabón líquido 1 (Compra)</t>
  </si>
  <si>
    <t>Dispensador de jabón líquido 2 (Compra)</t>
  </si>
  <si>
    <t>Dispensador de jabón líquido 3 (Compra)</t>
  </si>
  <si>
    <t>Dispensador de jabón líquido 4 (Compra)</t>
  </si>
  <si>
    <t>Dispensador para ambientador (Compra)</t>
  </si>
  <si>
    <t>Dispensador goteo por gravedad y recarga (Compra)</t>
  </si>
  <si>
    <t>Dispensador de agua (Compra)</t>
  </si>
  <si>
    <t>Dispensador de agua con botellón (Compra)</t>
  </si>
  <si>
    <t>Greca para tintos 1 (Arrendamiento)</t>
  </si>
  <si>
    <t>Greca para tintos 1 (Compra)</t>
  </si>
  <si>
    <t>Greca para tintos 2 (Arrendamiento)</t>
  </si>
  <si>
    <t>Greca para tintos 2 (Compra)</t>
  </si>
  <si>
    <t>Greca para tintos 3 (Arrendamiento)</t>
  </si>
  <si>
    <t>Greca para tintos 3 (Compra)</t>
  </si>
  <si>
    <t>Máquina de filtrado para café (Compra)</t>
  </si>
  <si>
    <t>Horno microondas (Arrendamiento)</t>
  </si>
  <si>
    <t>Horno microondas (Compra)</t>
  </si>
  <si>
    <t>Horno microondas de tipo industrial (Arrendamiento)</t>
  </si>
  <si>
    <t>Horno microondas de tipo industrial (Compra)</t>
  </si>
  <si>
    <t>Estufa 1 (Arrendamiento)</t>
  </si>
  <si>
    <t>Estufa 1 (Compra)</t>
  </si>
  <si>
    <t>Estufa 2 (Arrendamiento)</t>
  </si>
  <si>
    <t>Estufa 2 (Compra)</t>
  </si>
  <si>
    <t>Extensión eléctrica 1 (Compra)</t>
  </si>
  <si>
    <t>Extensión eléctrica 2 (Compra)</t>
  </si>
  <si>
    <t>Aspiradora 1 (Arrendamiento)</t>
  </si>
  <si>
    <t>Aspiradora 1 (Compra)</t>
  </si>
  <si>
    <t>Aspiradora 2 (Arrendamiento)</t>
  </si>
  <si>
    <t>Aspiradora 2 (Compra)</t>
  </si>
  <si>
    <t>Lavabrilladora de pisos 1 (Arrendamiento)</t>
  </si>
  <si>
    <t>Lavabrilladora de pisos 1 (Compra)</t>
  </si>
  <si>
    <t>Lavabrilladora de pisos 2 (Arrendamiento)</t>
  </si>
  <si>
    <t>Lavabrilladora de pisos 2 (Compra)</t>
  </si>
  <si>
    <t>Brilladora de alta revolución (Arrendamiento)</t>
  </si>
  <si>
    <t>Brilladora de alta revolución (Compra)</t>
  </si>
  <si>
    <t>Lavadora de alfombras y tapetes 1 (Arrendamiento)</t>
  </si>
  <si>
    <t>Lavadora de alfombras y tapetes 1 (Compra)</t>
  </si>
  <si>
    <t>Lavadora de alfombras y tapetes 2 (Arrendamiento)</t>
  </si>
  <si>
    <t>Lavadora de alfombras y tapetes 2 (Compra)</t>
  </si>
  <si>
    <t>Hidrolavadora Industrial (Arrendamiento)</t>
  </si>
  <si>
    <t>Hidrolavadora Industrial (Compra)</t>
  </si>
  <si>
    <t>Sopladora de hojas (Arrendamiento)</t>
  </si>
  <si>
    <t>Sopladora de hojas (Compra)</t>
  </si>
  <si>
    <t>Sonda para inodoro (Arrendamiento)</t>
  </si>
  <si>
    <t>Sonda para inodoro (Compra)</t>
  </si>
  <si>
    <t>Girador Manual (Compra)</t>
  </si>
  <si>
    <t>DATOS DEL EVENTO</t>
  </si>
  <si>
    <t xml:space="preserve">   </t>
  </si>
  <si>
    <t>Cantidades Evento</t>
  </si>
  <si>
    <t>Sonda para fregaderos (Compra)</t>
  </si>
  <si>
    <t>Cortadora de cesped  (Arrendamiento)</t>
  </si>
  <si>
    <t>Cortadora de cesped  (Compra)</t>
  </si>
  <si>
    <t>Guadañas (Arrendamiento)</t>
  </si>
  <si>
    <t>Guadañas (Compra)</t>
  </si>
  <si>
    <t>Motobombas (Arrendamiento)</t>
  </si>
  <si>
    <t>Motobombas (Compra)</t>
  </si>
  <si>
    <t>% Dcto2</t>
  </si>
  <si>
    <t>Escenarios</t>
  </si>
  <si>
    <t>A convenir</t>
  </si>
  <si>
    <t>Indicador columna formula</t>
  </si>
  <si>
    <t>X</t>
  </si>
  <si>
    <r>
      <rPr>
        <b/>
        <u/>
        <sz val="8"/>
        <color rgb="FFC00000"/>
        <rFont val="Century Gothic"/>
        <family val="2"/>
      </rPr>
      <t>Filtro de datos:</t>
    </r>
    <r>
      <rPr>
        <sz val="8"/>
        <color theme="1"/>
        <rFont val="Century Gothic"/>
        <family val="2"/>
      </rPr>
      <t xml:space="preserve">
1. Filtrar la columna </t>
    </r>
    <r>
      <rPr>
        <b/>
        <sz val="8"/>
        <color theme="1"/>
        <rFont val="Century Gothic"/>
        <family val="2"/>
      </rPr>
      <t>"TOTAL"</t>
    </r>
    <r>
      <rPr>
        <sz val="8"/>
        <color theme="1"/>
        <rFont val="Century Gothic"/>
        <family val="2"/>
      </rPr>
      <t xml:space="preserve">, ordenandolo de mayor a menor
</t>
    </r>
    <r>
      <rPr>
        <b/>
        <u/>
        <sz val="8"/>
        <color rgb="FFC00000"/>
        <rFont val="Century Gothic"/>
        <family val="2"/>
      </rPr>
      <t>Para reestablecer el orden original de la tabla;</t>
    </r>
    <r>
      <rPr>
        <sz val="8"/>
        <color theme="1"/>
        <rFont val="Century Gothic"/>
        <family val="2"/>
      </rPr>
      <t xml:space="preserve">
1. Filtrar la columna </t>
    </r>
    <r>
      <rPr>
        <b/>
        <sz val="8"/>
        <color theme="1"/>
        <rFont val="Century Gothic"/>
        <family val="2"/>
      </rPr>
      <t>"No"</t>
    </r>
    <r>
      <rPr>
        <sz val="8"/>
        <color theme="1"/>
        <rFont val="Century Gothic"/>
        <family val="2"/>
      </rPr>
      <t>, ordenandolo de menor a mayor</t>
    </r>
  </si>
  <si>
    <t>Descuentos reales finales</t>
  </si>
  <si>
    <t>Vrs Simulador</t>
  </si>
  <si>
    <t>Item</t>
  </si>
  <si>
    <t>% Dcto ofertado</t>
  </si>
  <si>
    <t>Total Bienes</t>
  </si>
  <si>
    <t>Factor Gravamen</t>
  </si>
  <si>
    <t>Simulador</t>
  </si>
  <si>
    <t>Vr cotizacion</t>
  </si>
  <si>
    <t>No. Items</t>
  </si>
  <si>
    <t>GRAVAMEN</t>
  </si>
  <si>
    <t>COSTO FINANCIERO</t>
  </si>
  <si>
    <t>pegar como valores dcto 25% y 20%</t>
  </si>
  <si>
    <t>% Dcto con 20% R11</t>
  </si>
  <si>
    <t>Precio Piso R11</t>
  </si>
  <si>
    <t>Precio igual costo</t>
  </si>
  <si>
    <t>Sedes Reg.</t>
  </si>
  <si>
    <t>Item jard.</t>
  </si>
  <si>
    <t>Otros dctos</t>
  </si>
  <si>
    <t>OPERARIA A y C Compromiso Social 47 HORAS LUNES A SABADO</t>
  </si>
  <si>
    <t>OPERARIA A y C Compromiso Social  47 HORAS LUNES A SABADO NOCT</t>
  </si>
  <si>
    <t>OPERARIA A y C  Compromiso Social 55 HORAS LUNES A DOM NOCT</t>
  </si>
  <si>
    <t>OPERARIA A y C Compromiso Social 55 HORAS LUNES A DOM DIA</t>
  </si>
  <si>
    <t>OPERARIA A y C 47 HORAS LUNES A SABADO</t>
  </si>
  <si>
    <t>OPERARIA A y C 47 HORAS LUNES A SABADO NOCT</t>
  </si>
  <si>
    <t>OPERARIA A y C 55 HORAS LUNES A DOM DIA</t>
  </si>
  <si>
    <t>OPERARIA A y C  55 HORAS LUNES A DOM NOCT</t>
  </si>
  <si>
    <t>OPERARIO MMTO 47 HORAS LUNES A SABADO DIA ($150.000)</t>
  </si>
  <si>
    <t>OPERARIO MMTO 47 HORAS LUNES A SABADO NOCTURNO ($150.000)</t>
  </si>
  <si>
    <t>OPERARIO MMTO 55 HORAS LUNES A DOMINGO DIA ($150.000)</t>
  </si>
  <si>
    <t>OPERARIO MMTO 55 HORAS LUNES A DOMINGO NOCTURNO ($150.000)</t>
  </si>
  <si>
    <t>OPERARIO MMTO ALT 47 HORAS LUNES A SABADO DIA ($200.000)</t>
  </si>
  <si>
    <t>OPERARIO MMTO ALT 47 HORAS LUNES A SABADO NOCTURNO ($200.000)</t>
  </si>
  <si>
    <t>OPERARIO MMTO ALT 55 HORAS LUNES A DOMINGO DIA ($200.000)</t>
  </si>
  <si>
    <t>OPERARIO MMTO ALT 55 HORAS LUNES A DOMINGO NOCTURNO ($200.000)</t>
  </si>
  <si>
    <t>OPERARIO AUXILIAR 47 HORAS LUNES A SABADO DIA</t>
  </si>
  <si>
    <t>OPERARIO AUXILIAR 47 HORAS LUNES A SABADO NOCTURNO</t>
  </si>
  <si>
    <t>OPERARIO AUXILIAR 55 HORAS LUNES A DOMINGO DIA</t>
  </si>
  <si>
    <t>OPERARIO AUXILIAR 55 HORAS LUNES A DOMINGO NOCTURNO</t>
  </si>
  <si>
    <t>OPERARIO AUXILIAR 47 HORAS LUNES A SABADO DIA ($50.000)</t>
  </si>
  <si>
    <t>OPERARIO AUXILIAR 47 HORAS LUNES A SABADO NOCTURNO ($50.000)</t>
  </si>
  <si>
    <t>OPERARIO AUXILIAR 55 HORAS LUNES A DOMINGO DIA ($50.000)</t>
  </si>
  <si>
    <t>OPERARIO AUXILIAR 55 HORAS LUNES A DOMINGO NOCTURNO ($50.000)</t>
  </si>
  <si>
    <t>OPERARIO JARDINERO 47 HORAS LUNES A SABADO DIA ($100.000)</t>
  </si>
  <si>
    <t>OPERARIO JARDINERO 47 HORAS LUNES A SABADO NOCTURNO ($100.000)</t>
  </si>
  <si>
    <t>OPERARIO JARDINERO 55 HORAS LUNES A DOMINGO DIA ($100.000)</t>
  </si>
  <si>
    <t>OPERARIO JARDINERO 55 HORAS LUNES A DOMINGO NOCTURNO ($100.000)</t>
  </si>
  <si>
    <t>OPERARIO JARDINERO ALT 47 HORAS LUNES A SABADO DIA ($150.000)</t>
  </si>
  <si>
    <t>OPERARIO JARDINERO ALT 47 HORAS LUNES A SABADO NOCTURNO ($150.000)</t>
  </si>
  <si>
    <t>OPERARIO JARDINERO ALT 55 HORAS LUNES A DOMINGO DIA ($150.000)</t>
  </si>
  <si>
    <t>OPERARIO JARDINERO ALT 55 HORAS LUNES A DOMINGO NOCTURNO ($150.000)</t>
  </si>
  <si>
    <t>OPERARIO COORDINADOR 47 HORAS LUNES A SABADO DIA ($300.000)</t>
  </si>
  <si>
    <t>OPERARIO COORDINADOR 47 HORAS LUNES A SABADO NOCTURNO ($300.000)</t>
  </si>
  <si>
    <t>OPERARIO COORDINADOR 57 HORAS LUNES A DOMINGO DIA ($300.000)</t>
  </si>
  <si>
    <t>OPERARIO COORDINADOR 55 HORAS LUNES A DOMINGO NOCTURNO ($300.000)</t>
  </si>
  <si>
    <t>OPERARIO COORDINADOR ALT 47 HORAS LUNES A SABADO DIA ($300.000)</t>
  </si>
  <si>
    <t>OPERARIO COORDINADOR ALT 47 HORAS LUNES A SABADO NOCTURNO ($300.000)</t>
  </si>
  <si>
    <t>OPERARIO JARDINERO ALT 55 HORAS LUNES A DOMINGO DIA ($300.000)</t>
  </si>
  <si>
    <t>OPERARIO JARDINERO ALT 55 HORAS LUNES A DOMINGO NOCTURNO ($300.000)</t>
  </si>
  <si>
    <t>Costo 47 H</t>
  </si>
  <si>
    <t>INCLUIRLAS EN Y</t>
  </si>
  <si>
    <t>Una entrega  bvs compra</t>
  </si>
  <si>
    <t>Facturacion Insumos al 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</si>
</sst>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_ &quot;$&quot;\ * #,##0.00_ ;_ &quot;$&quot;\ * \-#,##0.00_ ;_ &quot;$&quot;\ * &quot;-&quot;??_ ;_ @_ "/>
    <numFmt numFmtId="166" formatCode="#,##0_ ;\-#,##0\ "/>
    <numFmt numFmtId="167" formatCode="_ &quot;$&quot;\ * #,##0_ ;_ &quot;$&quot;\ * \-#,##0_ ;_ &quot;$&quot;\ * &quot;-&quot;??_ ;_ @_ "/>
    <numFmt numFmtId="168" formatCode="0.0%"/>
    <numFmt numFmtId="169" formatCode="_(&quot;$&quot;\ * #,##0_);_(&quot;$&quot;\ * \(#,##0\);_(&quot;$&quot;\ * &quot;-&quot;??_);_(@_)"/>
    <numFmt numFmtId="170" formatCode="_-* #,##0_-;\-* #,##0_-;_-* &quot;-&quot;??_-;_-@_-"/>
    <numFmt numFmtId="171" formatCode="0.000%"/>
    <numFmt numFmtId="172" formatCode="_ [$€-2]\ * #,##0.00_ ;_ [$€-2]\ * \-#,##0.00_ ;_ [$€-2]\ * &quot;-&quot;??_ "/>
    <numFmt numFmtId="173" formatCode="0.00000%"/>
    <numFmt numFmtId="174" formatCode="0.000000000%"/>
    <numFmt numFmtId="175" formatCode="#,##0.00_ ;\-#,##0.00\ "/>
    <numFmt numFmtId="176" formatCode="0.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omanist Light"/>
      <family val="3"/>
    </font>
    <font>
      <b/>
      <sz val="11"/>
      <color theme="1"/>
      <name val="Calibri"/>
      <family val="2"/>
      <scheme val="minor"/>
    </font>
    <font>
      <b/>
      <sz val="12"/>
      <color rgb="FFFFFFFF"/>
      <name val="Geomanist Light"/>
    </font>
    <font>
      <b/>
      <sz val="11"/>
      <color rgb="FFFFFFFF"/>
      <name val="Geomanist Light"/>
    </font>
    <font>
      <b/>
      <sz val="9"/>
      <color rgb="FF000000"/>
      <name val="Geomanist Light"/>
    </font>
    <font>
      <b/>
      <sz val="11"/>
      <color rgb="FF002060"/>
      <name val="Geomanist Light"/>
    </font>
    <font>
      <sz val="10"/>
      <color rgb="FF4E4D4D"/>
      <name val="Geomanist Light"/>
      <family val="3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0"/>
      <name val="Century Gothic"/>
      <family val="2"/>
    </font>
    <font>
      <b/>
      <sz val="8"/>
      <color rgb="FFFFFFFF"/>
      <name val="Century Gothic"/>
      <family val="2"/>
    </font>
    <font>
      <sz val="8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  <font>
      <sz val="8"/>
      <color rgb="FFFFFFFF"/>
      <name val="Century Gothic"/>
      <family val="2"/>
    </font>
    <font>
      <b/>
      <sz val="8"/>
      <name val="Century Gothic"/>
      <family val="2"/>
    </font>
    <font>
      <b/>
      <sz val="6"/>
      <color theme="0"/>
      <name val="Century Gothic"/>
      <family val="2"/>
    </font>
    <font>
      <sz val="7"/>
      <color theme="1"/>
      <name val="Century Gothic"/>
      <family val="2"/>
    </font>
    <font>
      <b/>
      <sz val="7"/>
      <color theme="1"/>
      <name val="Century Gothic"/>
      <family val="2"/>
    </font>
    <font>
      <sz val="6"/>
      <color theme="1"/>
      <name val="Century Gothic"/>
      <family val="2"/>
    </font>
    <font>
      <b/>
      <sz val="6"/>
      <color theme="1"/>
      <name val="Century Gothic"/>
      <family val="2"/>
    </font>
    <font>
      <sz val="7"/>
      <name val="Geomanist Light"/>
      <family val="3"/>
    </font>
    <font>
      <sz val="8"/>
      <color theme="0"/>
      <name val="Century Gothic"/>
      <family val="2"/>
    </font>
    <font>
      <sz val="9"/>
      <color theme="0"/>
      <name val="Geomanist Light"/>
      <family val="3"/>
    </font>
    <font>
      <sz val="7"/>
      <color theme="0"/>
      <name val="Geomanist Light"/>
      <family val="3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Calibri"/>
      <family val="2"/>
    </font>
    <font>
      <sz val="8"/>
      <color theme="0"/>
      <name val="Calibri"/>
      <family val="2"/>
      <scheme val="minor"/>
    </font>
    <font>
      <b/>
      <sz val="7"/>
      <color theme="0"/>
      <name val="Century Gothic"/>
      <family val="2"/>
    </font>
    <font>
      <sz val="7"/>
      <name val="Century Gothic"/>
      <family val="2"/>
    </font>
    <font>
      <b/>
      <sz val="7"/>
      <color rgb="FF0070C0"/>
      <name val="Century Gothic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C00000"/>
      <name val="Century Gothic"/>
      <family val="2"/>
    </font>
    <font>
      <sz val="7"/>
      <color rgb="FFFF0000"/>
      <name val="Century Gothic"/>
      <family val="2"/>
    </font>
    <font>
      <b/>
      <sz val="6"/>
      <color rgb="FFC00000"/>
      <name val="Century Gothic"/>
      <family val="2"/>
    </font>
    <font>
      <b/>
      <sz val="8"/>
      <color rgb="FFFF0000"/>
      <name val="Century Gothic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1"/>
      <color theme="0"/>
      <name val="Century Gothic"/>
      <family val="2"/>
    </font>
    <font>
      <b/>
      <u/>
      <sz val="8"/>
      <color rgb="FFC00000"/>
      <name val="Century Gothic"/>
      <family val="2"/>
    </font>
    <font>
      <b/>
      <sz val="7"/>
      <color rgb="FFFF0000"/>
      <name val="Century Gothic"/>
      <family val="2"/>
    </font>
    <font>
      <sz val="7"/>
      <color rgb="FF000000"/>
      <name val="Century Gothic"/>
      <family val="2"/>
    </font>
    <font>
      <b/>
      <sz val="9"/>
      <color theme="0"/>
      <name val="Century Gothic"/>
      <family val="2"/>
    </font>
    <font>
      <sz val="7"/>
      <color theme="1"/>
      <name val="Calibri"/>
      <family val="2"/>
      <scheme val="minor"/>
    </font>
  </fonts>
  <fills count="9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36532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8F0F74"/>
        <bgColor indexed="64"/>
      </patternFill>
    </fill>
    <fill>
      <patternFill patternType="solid">
        <fgColor rgb="FFF9FECC"/>
        <bgColor indexed="64"/>
      </patternFill>
    </fill>
    <fill>
      <patternFill patternType="solid">
        <fgColor rgb="FFE5F456"/>
        <bgColor indexed="64"/>
      </patternFill>
    </fill>
    <fill>
      <patternFill patternType="solid">
        <fgColor rgb="FF97AE0E"/>
        <bgColor indexed="64"/>
      </patternFill>
    </fill>
    <fill>
      <patternFill patternType="solid">
        <fgColor rgb="FF7275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rgb="FF000000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dotted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hair">
        <color indexed="64"/>
      </left>
      <right style="dotted">
        <color rgb="FF808080"/>
      </right>
      <top style="medium">
        <color rgb="FF808080"/>
      </top>
      <bottom/>
      <diagonal/>
    </border>
    <border>
      <left style="hair">
        <color indexed="64"/>
      </left>
      <right style="dotted">
        <color rgb="FF808080"/>
      </right>
      <top style="dotted">
        <color rgb="FF808080"/>
      </top>
      <bottom/>
      <diagonal/>
    </border>
    <border>
      <left style="hair">
        <color indexed="64"/>
      </left>
      <right style="dotted">
        <color rgb="FF808080"/>
      </right>
      <top/>
      <bottom style="dotted">
        <color rgb="FF808080"/>
      </bottom>
      <diagonal/>
    </border>
    <border>
      <left style="hair">
        <color indexed="64"/>
      </left>
      <right/>
      <top style="dotted">
        <color rgb="FF808080"/>
      </top>
      <bottom/>
      <diagonal/>
    </border>
    <border>
      <left/>
      <right/>
      <top style="dotted">
        <color rgb="FF808080"/>
      </top>
      <bottom/>
      <diagonal/>
    </border>
    <border>
      <left/>
      <right style="dotted">
        <color rgb="FF808080"/>
      </right>
      <top style="dotted">
        <color rgb="FF808080"/>
      </top>
      <bottom/>
      <diagonal/>
    </border>
    <border>
      <left style="dotted">
        <color rgb="FF808080"/>
      </left>
      <right style="dotted">
        <color rgb="FF808080"/>
      </right>
      <top style="medium">
        <color rgb="FF808080"/>
      </top>
      <bottom/>
      <diagonal/>
    </border>
    <border>
      <left style="dotted">
        <color rgb="FF808080"/>
      </left>
      <right style="dotted">
        <color rgb="FF808080"/>
      </right>
      <top/>
      <bottom style="dotted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</borders>
  <cellStyleXfs count="7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56" fillId="0" borderId="57" applyNumberFormat="0" applyFill="0" applyAlignment="0" applyProtection="0"/>
    <xf numFmtId="0" fontId="57" fillId="0" borderId="58" applyNumberFormat="0" applyFill="0" applyAlignment="0" applyProtection="0"/>
    <xf numFmtId="0" fontId="57" fillId="0" borderId="0" applyNumberFormat="0" applyFill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60" fillId="64" borderId="0" applyNumberFormat="0" applyBorder="0" applyAlignment="0" applyProtection="0"/>
    <xf numFmtId="0" fontId="61" fillId="65" borderId="59" applyNumberFormat="0" applyAlignment="0" applyProtection="0"/>
    <xf numFmtId="0" fontId="62" fillId="66" borderId="60" applyNumberFormat="0" applyAlignment="0" applyProtection="0"/>
    <xf numFmtId="0" fontId="63" fillId="66" borderId="59" applyNumberFormat="0" applyAlignment="0" applyProtection="0"/>
    <xf numFmtId="0" fontId="64" fillId="0" borderId="61" applyNumberFormat="0" applyFill="0" applyAlignment="0" applyProtection="0"/>
    <xf numFmtId="0" fontId="9" fillId="67" borderId="62" applyNumberFormat="0" applyAlignment="0" applyProtection="0"/>
    <xf numFmtId="0" fontId="47" fillId="0" borderId="0" applyNumberFormat="0" applyFill="0" applyBorder="0" applyAlignment="0" applyProtection="0"/>
    <xf numFmtId="0" fontId="1" fillId="68" borderId="63" applyNumberFormat="0" applyFont="0" applyAlignment="0" applyProtection="0"/>
    <xf numFmtId="0" fontId="65" fillId="0" borderId="0" applyNumberFormat="0" applyFill="0" applyBorder="0" applyAlignment="0" applyProtection="0"/>
    <xf numFmtId="0" fontId="3" fillId="0" borderId="64" applyNumberFormat="0" applyFill="0" applyAlignment="0" applyProtection="0"/>
    <xf numFmtId="0" fontId="66" fillId="69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66" fillId="72" borderId="0" applyNumberFormat="0" applyBorder="0" applyAlignment="0" applyProtection="0"/>
    <xf numFmtId="0" fontId="66" fillId="73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1" fillId="78" borderId="0" applyNumberFormat="0" applyBorder="0" applyAlignment="0" applyProtection="0"/>
    <xf numFmtId="0" fontId="1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66" fillId="84" borderId="0" applyNumberFormat="0" applyBorder="0" applyAlignment="0" applyProtection="0"/>
    <xf numFmtId="0" fontId="66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66" fillId="92" borderId="0" applyNumberFormat="0" applyBorder="0" applyAlignment="0" applyProtection="0"/>
    <xf numFmtId="0" fontId="10" fillId="0" borderId="0"/>
    <xf numFmtId="0" fontId="55" fillId="0" borderId="0" applyNumberFormat="0" applyFill="0" applyBorder="0" applyAlignment="0" applyProtection="0"/>
    <xf numFmtId="17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9" fontId="67" fillId="0" borderId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601">
    <xf numFmtId="0" fontId="0" fillId="0" borderId="0" xfId="0"/>
    <xf numFmtId="0" fontId="6" fillId="6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12" fillId="0" borderId="0" xfId="15" applyNumberFormat="1" applyFont="1"/>
    <xf numFmtId="0" fontId="13" fillId="8" borderId="22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13" fillId="9" borderId="22" xfId="0" applyNumberFormat="1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165" fontId="14" fillId="9" borderId="24" xfId="15" applyNumberFormat="1" applyFont="1" applyFill="1" applyBorder="1"/>
    <xf numFmtId="165" fontId="12" fillId="0" borderId="24" xfId="15" applyNumberFormat="1" applyFont="1" applyBorder="1"/>
    <xf numFmtId="165" fontId="12" fillId="0" borderId="22" xfId="15" applyNumberFormat="1" applyFont="1" applyBorder="1"/>
    <xf numFmtId="165" fontId="14" fillId="0" borderId="22" xfId="15" applyNumberFormat="1" applyFont="1" applyBorder="1"/>
    <xf numFmtId="165" fontId="14" fillId="9" borderId="22" xfId="15" applyNumberFormat="1" applyFont="1" applyFill="1" applyBorder="1"/>
    <xf numFmtId="165" fontId="14" fillId="9" borderId="22" xfId="15" applyNumberFormat="1" applyFont="1" applyFill="1" applyBorder="1" applyAlignment="1">
      <alignment horizontal="center" vertical="center" wrapText="1"/>
    </xf>
    <xf numFmtId="165" fontId="14" fillId="9" borderId="25" xfId="15" applyNumberFormat="1" applyFont="1" applyFill="1" applyBorder="1" applyAlignment="1">
      <alignment horizontal="center" vertical="center"/>
    </xf>
    <xf numFmtId="165" fontId="14" fillId="9" borderId="22" xfId="15" applyNumberFormat="1" applyFont="1" applyFill="1" applyBorder="1" applyAlignment="1">
      <alignment horizontal="center" vertical="center"/>
    </xf>
    <xf numFmtId="165" fontId="14" fillId="10" borderId="22" xfId="15" applyNumberFormat="1" applyFont="1" applyFill="1" applyBorder="1" applyAlignment="1">
      <alignment horizontal="center" vertical="center" wrapText="1"/>
    </xf>
    <xf numFmtId="43" fontId="12" fillId="0" borderId="22" xfId="14" applyFont="1" applyBorder="1"/>
    <xf numFmtId="166" fontId="12" fillId="11" borderId="22" xfId="15" applyNumberFormat="1" applyFont="1" applyFill="1" applyBorder="1" applyAlignment="1">
      <alignment horizontal="center"/>
    </xf>
    <xf numFmtId="166" fontId="12" fillId="0" borderId="22" xfId="15" applyNumberFormat="1" applyFont="1" applyBorder="1" applyAlignment="1">
      <alignment horizontal="center"/>
    </xf>
    <xf numFmtId="10" fontId="12" fillId="0" borderId="22" xfId="2" applyNumberFormat="1" applyFont="1" applyBorder="1" applyAlignment="1">
      <alignment horizontal="center"/>
    </xf>
    <xf numFmtId="166" fontId="12" fillId="0" borderId="0" xfId="15" applyNumberFormat="1" applyFont="1"/>
    <xf numFmtId="165" fontId="12" fillId="0" borderId="0" xfId="15" applyNumberFormat="1" applyFont="1" applyAlignment="1">
      <alignment horizontal="right"/>
    </xf>
    <xf numFmtId="165" fontId="14" fillId="9" borderId="22" xfId="15" applyNumberFormat="1" applyFont="1" applyFill="1" applyBorder="1" applyAlignment="1">
      <alignment horizontal="right"/>
    </xf>
    <xf numFmtId="167" fontId="14" fillId="0" borderId="22" xfId="15" applyNumberFormat="1" applyFont="1" applyBorder="1"/>
    <xf numFmtId="0" fontId="12" fillId="0" borderId="0" xfId="15" applyFont="1"/>
    <xf numFmtId="168" fontId="12" fillId="0" borderId="0" xfId="16" applyNumberFormat="1" applyFont="1"/>
    <xf numFmtId="167" fontId="11" fillId="7" borderId="22" xfId="15" applyNumberFormat="1" applyFont="1" applyFill="1" applyBorder="1"/>
    <xf numFmtId="167" fontId="14" fillId="0" borderId="22" xfId="15" applyNumberFormat="1" applyFont="1" applyFill="1" applyBorder="1"/>
    <xf numFmtId="167" fontId="14" fillId="12" borderId="22" xfId="15" applyNumberFormat="1" applyFont="1" applyFill="1" applyBorder="1"/>
    <xf numFmtId="10" fontId="11" fillId="13" borderId="22" xfId="2" applyNumberFormat="1" applyFont="1" applyFill="1" applyBorder="1" applyAlignment="1">
      <alignment horizontal="center"/>
    </xf>
    <xf numFmtId="165" fontId="12" fillId="0" borderId="0" xfId="15" applyNumberFormat="1" applyFont="1" applyFill="1"/>
    <xf numFmtId="43" fontId="11" fillId="13" borderId="22" xfId="14" applyFont="1" applyFill="1" applyBorder="1"/>
    <xf numFmtId="165" fontId="14" fillId="4" borderId="22" xfId="15" applyNumberFormat="1" applyFont="1" applyFill="1" applyBorder="1"/>
    <xf numFmtId="165" fontId="12" fillId="14" borderId="22" xfId="15" applyNumberFormat="1" applyFont="1" applyFill="1" applyBorder="1"/>
    <xf numFmtId="166" fontId="11" fillId="13" borderId="22" xfId="15" applyNumberFormat="1" applyFont="1" applyFill="1" applyBorder="1" applyAlignment="1">
      <alignment horizontal="center"/>
    </xf>
    <xf numFmtId="165" fontId="14" fillId="10" borderId="22" xfId="15" applyNumberFormat="1" applyFont="1" applyFill="1" applyBorder="1"/>
    <xf numFmtId="169" fontId="14" fillId="4" borderId="22" xfId="1" applyNumberFormat="1" applyFont="1" applyFill="1" applyBorder="1"/>
    <xf numFmtId="43" fontId="11" fillId="13" borderId="22" xfId="14" applyFont="1" applyFill="1" applyBorder="1" applyAlignment="1">
      <alignment horizontal="center"/>
    </xf>
    <xf numFmtId="165" fontId="14" fillId="15" borderId="22" xfId="15" applyNumberFormat="1" applyFont="1" applyFill="1" applyBorder="1"/>
    <xf numFmtId="167" fontId="14" fillId="4" borderId="22" xfId="15" applyNumberFormat="1" applyFont="1" applyFill="1" applyBorder="1"/>
    <xf numFmtId="0" fontId="17" fillId="0" borderId="22" xfId="0" applyFont="1" applyBorder="1" applyAlignment="1">
      <alignment horizontal="center"/>
    </xf>
    <xf numFmtId="0" fontId="0" fillId="0" borderId="22" xfId="0" applyBorder="1"/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20" fillId="0" borderId="22" xfId="0" applyFont="1" applyBorder="1" applyAlignment="1">
      <alignment vertical="center"/>
    </xf>
    <xf numFmtId="3" fontId="20" fillId="0" borderId="22" xfId="0" applyNumberFormat="1" applyFont="1" applyBorder="1"/>
    <xf numFmtId="0" fontId="21" fillId="13" borderId="22" xfId="0" applyFont="1" applyFill="1" applyBorder="1" applyAlignment="1">
      <alignment horizontal="center"/>
    </xf>
    <xf numFmtId="0" fontId="20" fillId="0" borderId="0" xfId="0" applyFont="1"/>
    <xf numFmtId="0" fontId="21" fillId="13" borderId="0" xfId="0" applyFont="1" applyFill="1" applyAlignment="1">
      <alignment horizontal="center"/>
    </xf>
    <xf numFmtId="3" fontId="20" fillId="17" borderId="28" xfId="0" applyNumberFormat="1" applyFont="1" applyFill="1" applyBorder="1"/>
    <xf numFmtId="10" fontId="20" fillId="0" borderId="22" xfId="2" applyNumberFormat="1" applyFont="1" applyBorder="1"/>
    <xf numFmtId="3" fontId="20" fillId="17" borderId="22" xfId="0" applyNumberFormat="1" applyFont="1" applyFill="1" applyBorder="1"/>
    <xf numFmtId="0" fontId="20" fillId="0" borderId="22" xfId="0" applyFont="1" applyBorder="1"/>
    <xf numFmtId="0" fontId="22" fillId="16" borderId="22" xfId="0" applyFont="1" applyFill="1" applyBorder="1" applyAlignment="1">
      <alignment horizontal="center" vertical="center" wrapText="1"/>
    </xf>
    <xf numFmtId="0" fontId="22" fillId="18" borderId="22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/>
    </xf>
    <xf numFmtId="0" fontId="21" fillId="13" borderId="0" xfId="0" applyFont="1" applyFill="1" applyAlignment="1">
      <alignment horizontal="center" vertical="center" wrapText="1"/>
    </xf>
    <xf numFmtId="4" fontId="20" fillId="17" borderId="22" xfId="0" applyNumberFormat="1" applyFont="1" applyFill="1" applyBorder="1" applyAlignment="1">
      <alignment vertical="center"/>
    </xf>
    <xf numFmtId="3" fontId="20" fillId="0" borderId="22" xfId="0" applyNumberFormat="1" applyFont="1" applyBorder="1" applyAlignment="1">
      <alignment vertical="center"/>
    </xf>
    <xf numFmtId="10" fontId="23" fillId="0" borderId="22" xfId="2" applyNumberFormat="1" applyFont="1" applyBorder="1" applyAlignment="1">
      <alignment vertical="center"/>
    </xf>
    <xf numFmtId="0" fontId="22" fillId="16" borderId="24" xfId="0" applyFont="1" applyFill="1" applyBorder="1" applyAlignment="1">
      <alignment horizontal="center" vertical="center" wrapText="1"/>
    </xf>
    <xf numFmtId="0" fontId="20" fillId="4" borderId="23" xfId="0" applyFont="1" applyFill="1" applyBorder="1"/>
    <xf numFmtId="0" fontId="20" fillId="4" borderId="0" xfId="0" applyFont="1" applyFill="1"/>
    <xf numFmtId="0" fontId="24" fillId="0" borderId="22" xfId="0" applyFont="1" applyBorder="1" applyAlignment="1">
      <alignment horizontal="center"/>
    </xf>
    <xf numFmtId="1" fontId="25" fillId="0" borderId="22" xfId="0" applyNumberFormat="1" applyFont="1" applyBorder="1" applyAlignment="1">
      <alignment horizontal="center" vertical="center" shrinkToFit="1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0" fillId="19" borderId="0" xfId="0" applyFont="1" applyFill="1"/>
    <xf numFmtId="4" fontId="20" fillId="20" borderId="22" xfId="0" applyNumberFormat="1" applyFont="1" applyFill="1" applyBorder="1" applyAlignment="1">
      <alignment vertical="center"/>
    </xf>
    <xf numFmtId="9" fontId="20" fillId="17" borderId="22" xfId="2" applyFont="1" applyFill="1" applyBorder="1" applyAlignment="1">
      <alignment horizontal="center" vertical="center"/>
    </xf>
    <xf numFmtId="3" fontId="20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13" borderId="22" xfId="0" applyFont="1" applyFill="1" applyBorder="1" applyAlignment="1">
      <alignment horizontal="right"/>
    </xf>
    <xf numFmtId="10" fontId="27" fillId="14" borderId="22" xfId="2" applyNumberFormat="1" applyFont="1" applyFill="1" applyBorder="1"/>
    <xf numFmtId="0" fontId="21" fillId="21" borderId="22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4" fontId="20" fillId="0" borderId="0" xfId="0" applyNumberFormat="1" applyFont="1"/>
    <xf numFmtId="4" fontId="20" fillId="0" borderId="22" xfId="0" applyNumberFormat="1" applyFont="1" applyBorder="1" applyAlignment="1">
      <alignment vertical="center"/>
    </xf>
    <xf numFmtId="0" fontId="24" fillId="17" borderId="22" xfId="0" applyFont="1" applyFill="1" applyBorder="1" applyAlignment="1">
      <alignment vertical="center"/>
    </xf>
    <xf numFmtId="0" fontId="21" fillId="2" borderId="23" xfId="0" applyFont="1" applyFill="1" applyBorder="1" applyAlignment="1">
      <alignment horizontal="center"/>
    </xf>
    <xf numFmtId="0" fontId="21" fillId="2" borderId="22" xfId="0" applyFont="1" applyFill="1" applyBorder="1" applyAlignment="1">
      <alignment horizontal="center"/>
    </xf>
    <xf numFmtId="0" fontId="20" fillId="0" borderId="29" xfId="0" applyFont="1" applyBorder="1" applyAlignment="1">
      <alignment horizontal="right"/>
    </xf>
    <xf numFmtId="4" fontId="20" fillId="0" borderId="22" xfId="0" applyNumberFormat="1" applyFont="1" applyBorder="1"/>
    <xf numFmtId="168" fontId="20" fillId="17" borderId="22" xfId="2" applyNumberFormat="1" applyFont="1" applyFill="1" applyBorder="1"/>
    <xf numFmtId="0" fontId="21" fillId="2" borderId="22" xfId="0" applyFont="1" applyFill="1" applyBorder="1" applyAlignment="1">
      <alignment horizontal="left"/>
    </xf>
    <xf numFmtId="4" fontId="21" fillId="2" borderId="22" xfId="0" applyNumberFormat="1" applyFont="1" applyFill="1" applyBorder="1"/>
    <xf numFmtId="4" fontId="21" fillId="13" borderId="22" xfId="0" applyNumberFormat="1" applyFont="1" applyFill="1" applyBorder="1"/>
    <xf numFmtId="4" fontId="21" fillId="7" borderId="22" xfId="0" applyNumberFormat="1" applyFont="1" applyFill="1" applyBorder="1"/>
    <xf numFmtId="9" fontId="20" fillId="0" borderId="22" xfId="0" applyNumberFormat="1" applyFont="1" applyBorder="1"/>
    <xf numFmtId="4" fontId="20" fillId="17" borderId="22" xfId="0" applyNumberFormat="1" applyFont="1" applyFill="1" applyBorder="1" applyAlignment="1">
      <alignment horizontal="right"/>
    </xf>
    <xf numFmtId="10" fontId="21" fillId="7" borderId="22" xfId="2" applyNumberFormat="1" applyFont="1" applyFill="1" applyBorder="1"/>
    <xf numFmtId="4" fontId="21" fillId="7" borderId="24" xfId="0" applyNumberFormat="1" applyFont="1" applyFill="1" applyBorder="1"/>
    <xf numFmtId="168" fontId="21" fillId="13" borderId="30" xfId="2" applyNumberFormat="1" applyFont="1" applyFill="1" applyBorder="1"/>
    <xf numFmtId="0" fontId="24" fillId="0" borderId="26" xfId="0" applyFont="1" applyBorder="1" applyAlignment="1">
      <alignment horizontal="center"/>
    </xf>
    <xf numFmtId="4" fontId="24" fillId="0" borderId="22" xfId="0" applyNumberFormat="1" applyFont="1" applyBorder="1"/>
    <xf numFmtId="3" fontId="20" fillId="14" borderId="22" xfId="0" applyNumberFormat="1" applyFont="1" applyFill="1" applyBorder="1"/>
    <xf numFmtId="0" fontId="24" fillId="0" borderId="0" xfId="0" applyFont="1" applyAlignment="1">
      <alignment horizontal="center"/>
    </xf>
    <xf numFmtId="3" fontId="24" fillId="0" borderId="22" xfId="0" applyNumberFormat="1" applyFont="1" applyBorder="1" applyAlignment="1">
      <alignment horizontal="center"/>
    </xf>
    <xf numFmtId="3" fontId="20" fillId="14" borderId="22" xfId="0" applyNumberFormat="1" applyFont="1" applyFill="1" applyBorder="1" applyAlignment="1">
      <alignment vertical="center"/>
    </xf>
    <xf numFmtId="9" fontId="20" fillId="0" borderId="22" xfId="2" applyFont="1" applyBorder="1" applyAlignment="1">
      <alignment vertical="center"/>
    </xf>
    <xf numFmtId="9" fontId="20" fillId="0" borderId="0" xfId="0" applyNumberFormat="1" applyFont="1"/>
    <xf numFmtId="4" fontId="23" fillId="0" borderId="0" xfId="0" applyNumberFormat="1" applyFont="1" applyAlignment="1">
      <alignment vertical="center"/>
    </xf>
    <xf numFmtId="0" fontId="24" fillId="0" borderId="29" xfId="0" applyFont="1" applyBorder="1"/>
    <xf numFmtId="0" fontId="20" fillId="0" borderId="26" xfId="0" applyFont="1" applyBorder="1"/>
    <xf numFmtId="0" fontId="28" fillId="13" borderId="22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0" borderId="22" xfId="0" applyFont="1" applyBorder="1" applyAlignment="1">
      <alignment horizontal="center" vertical="center"/>
    </xf>
    <xf numFmtId="4" fontId="24" fillId="22" borderId="22" xfId="0" applyNumberFormat="1" applyFont="1" applyFill="1" applyBorder="1"/>
    <xf numFmtId="4" fontId="29" fillId="0" borderId="0" xfId="0" applyNumberFormat="1" applyFont="1"/>
    <xf numFmtId="4" fontId="31" fillId="0" borderId="22" xfId="0" applyNumberFormat="1" applyFont="1" applyBorder="1"/>
    <xf numFmtId="4" fontId="31" fillId="9" borderId="22" xfId="0" applyNumberFormat="1" applyFont="1" applyFill="1" applyBorder="1"/>
    <xf numFmtId="4" fontId="31" fillId="0" borderId="0" xfId="0" applyNumberFormat="1" applyFont="1"/>
    <xf numFmtId="0" fontId="22" fillId="16" borderId="0" xfId="0" applyFont="1" applyFill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1" fillId="13" borderId="25" xfId="0" applyFont="1" applyFill="1" applyBorder="1" applyAlignment="1">
      <alignment horizontal="right"/>
    </xf>
    <xf numFmtId="10" fontId="27" fillId="14" borderId="25" xfId="2" applyNumberFormat="1" applyFont="1" applyFill="1" applyBorder="1"/>
    <xf numFmtId="0" fontId="30" fillId="14" borderId="26" xfId="0" applyFont="1" applyFill="1" applyBorder="1" applyAlignment="1">
      <alignment horizontal="center"/>
    </xf>
    <xf numFmtId="14" fontId="30" fillId="14" borderId="26" xfId="0" applyNumberFormat="1" applyFont="1" applyFill="1" applyBorder="1" applyAlignment="1">
      <alignment horizontal="center"/>
    </xf>
    <xf numFmtId="3" fontId="30" fillId="14" borderId="26" xfId="0" applyNumberFormat="1" applyFont="1" applyFill="1" applyBorder="1" applyAlignment="1">
      <alignment horizontal="center"/>
    </xf>
    <xf numFmtId="0" fontId="33" fillId="0" borderId="22" xfId="0" applyFont="1" applyBorder="1" applyAlignment="1">
      <alignment horizontal="center" vertical="center" wrapText="1"/>
    </xf>
    <xf numFmtId="3" fontId="20" fillId="0" borderId="0" xfId="0" applyNumberFormat="1" applyFont="1"/>
    <xf numFmtId="0" fontId="24" fillId="23" borderId="22" xfId="0" applyFont="1" applyFill="1" applyBorder="1" applyAlignment="1">
      <alignment horizontal="center"/>
    </xf>
    <xf numFmtId="0" fontId="24" fillId="24" borderId="22" xfId="0" applyFont="1" applyFill="1" applyBorder="1" applyAlignment="1">
      <alignment horizontal="center"/>
    </xf>
    <xf numFmtId="0" fontId="24" fillId="25" borderId="22" xfId="0" applyFont="1" applyFill="1" applyBorder="1" applyAlignment="1">
      <alignment horizontal="center"/>
    </xf>
    <xf numFmtId="0" fontId="24" fillId="26" borderId="22" xfId="0" applyFont="1" applyFill="1" applyBorder="1" applyAlignment="1">
      <alignment horizontal="center"/>
    </xf>
    <xf numFmtId="3" fontId="20" fillId="15" borderId="22" xfId="0" applyNumberFormat="1" applyFont="1" applyFill="1" applyBorder="1" applyAlignment="1">
      <alignment vertical="center"/>
    </xf>
    <xf numFmtId="4" fontId="20" fillId="0" borderId="22" xfId="0" applyNumberFormat="1" applyFont="1" applyBorder="1" applyAlignment="1">
      <alignment horizontal="center"/>
    </xf>
    <xf numFmtId="1" fontId="34" fillId="13" borderId="22" xfId="0" applyNumberFormat="1" applyFont="1" applyFill="1" applyBorder="1" applyAlignment="1">
      <alignment horizontal="center" vertical="center" shrinkToFit="1"/>
    </xf>
    <xf numFmtId="0" fontId="35" fillId="13" borderId="22" xfId="0" applyFont="1" applyFill="1" applyBorder="1" applyAlignment="1">
      <alignment horizontal="left" vertical="center" wrapText="1"/>
    </xf>
    <xf numFmtId="0" fontId="36" fillId="13" borderId="22" xfId="0" applyFont="1" applyFill="1" applyBorder="1" applyAlignment="1">
      <alignment horizontal="center" vertical="center" wrapText="1"/>
    </xf>
    <xf numFmtId="3" fontId="34" fillId="13" borderId="22" xfId="0" applyNumberFormat="1" applyFont="1" applyFill="1" applyBorder="1" applyAlignment="1">
      <alignment horizontal="center"/>
    </xf>
    <xf numFmtId="4" fontId="34" fillId="13" borderId="22" xfId="0" applyNumberFormat="1" applyFont="1" applyFill="1" applyBorder="1" applyAlignment="1">
      <alignment horizontal="center"/>
    </xf>
    <xf numFmtId="4" fontId="21" fillId="26" borderId="22" xfId="0" applyNumberFormat="1" applyFont="1" applyFill="1" applyBorder="1" applyAlignment="1">
      <alignment horizontal="center"/>
    </xf>
    <xf numFmtId="0" fontId="10" fillId="0" borderId="0" xfId="17"/>
    <xf numFmtId="0" fontId="14" fillId="0" borderId="33" xfId="17" applyFont="1" applyBorder="1" applyAlignment="1">
      <alignment horizontal="center" vertical="center" wrapText="1"/>
    </xf>
    <xf numFmtId="0" fontId="14" fillId="0" borderId="34" xfId="17" applyFont="1" applyBorder="1" applyAlignment="1">
      <alignment horizontal="center" vertical="center"/>
    </xf>
    <xf numFmtId="0" fontId="18" fillId="0" borderId="35" xfId="17" applyFont="1" applyBorder="1" applyAlignment="1">
      <alignment horizontal="justify" vertical="center"/>
    </xf>
    <xf numFmtId="0" fontId="18" fillId="0" borderId="25" xfId="17" applyFont="1" applyBorder="1" applyAlignment="1">
      <alignment horizontal="justify" vertical="center"/>
    </xf>
    <xf numFmtId="0" fontId="18" fillId="0" borderId="22" xfId="17" applyFont="1" applyBorder="1" applyAlignment="1">
      <alignment horizontal="justify" vertical="center"/>
    </xf>
    <xf numFmtId="0" fontId="14" fillId="0" borderId="22" xfId="17" applyFont="1" applyBorder="1" applyAlignment="1">
      <alignment horizontal="justify" vertical="center"/>
    </xf>
    <xf numFmtId="0" fontId="18" fillId="0" borderId="36" xfId="17" applyFont="1" applyBorder="1" applyAlignment="1">
      <alignment horizontal="justify" vertical="center"/>
    </xf>
    <xf numFmtId="0" fontId="10" fillId="0" borderId="35" xfId="17" applyBorder="1"/>
    <xf numFmtId="0" fontId="10" fillId="0" borderId="25" xfId="17" applyBorder="1"/>
    <xf numFmtId="0" fontId="10" fillId="0" borderId="22" xfId="17" applyBorder="1"/>
    <xf numFmtId="3" fontId="10" fillId="27" borderId="22" xfId="17" applyNumberFormat="1" applyFill="1" applyBorder="1" applyProtection="1">
      <protection locked="0"/>
    </xf>
    <xf numFmtId="3" fontId="10" fillId="0" borderId="22" xfId="17" applyNumberFormat="1" applyBorder="1"/>
    <xf numFmtId="3" fontId="10" fillId="0" borderId="36" xfId="17" applyNumberFormat="1" applyBorder="1"/>
    <xf numFmtId="9" fontId="10" fillId="0" borderId="22" xfId="16" applyFont="1" applyBorder="1" applyProtection="1"/>
    <xf numFmtId="4" fontId="0" fillId="0" borderId="0" xfId="0" applyNumberFormat="1"/>
    <xf numFmtId="9" fontId="10" fillId="0" borderId="22" xfId="17" applyNumberFormat="1" applyBorder="1"/>
    <xf numFmtId="9" fontId="10" fillId="0" borderId="24" xfId="17" applyNumberFormat="1" applyBorder="1"/>
    <xf numFmtId="0" fontId="10" fillId="0" borderId="29" xfId="17" applyBorder="1"/>
    <xf numFmtId="3" fontId="10" fillId="0" borderId="25" xfId="17" applyNumberFormat="1" applyBorder="1"/>
    <xf numFmtId="0" fontId="0" fillId="0" borderId="22" xfId="0" applyBorder="1" applyAlignment="1">
      <alignment horizontal="center"/>
    </xf>
    <xf numFmtId="9" fontId="10" fillId="0" borderId="28" xfId="17" applyNumberFormat="1" applyBorder="1"/>
    <xf numFmtId="0" fontId="18" fillId="0" borderId="35" xfId="17" applyFont="1" applyBorder="1"/>
    <xf numFmtId="0" fontId="18" fillId="0" borderId="25" xfId="17" applyFont="1" applyBorder="1" applyAlignment="1">
      <alignment horizontal="right"/>
    </xf>
    <xf numFmtId="0" fontId="18" fillId="0" borderId="28" xfId="17" applyFont="1" applyBorder="1"/>
    <xf numFmtId="3" fontId="18" fillId="0" borderId="22" xfId="17" applyNumberFormat="1" applyFont="1" applyBorder="1"/>
    <xf numFmtId="3" fontId="18" fillId="0" borderId="36" xfId="17" applyNumberFormat="1" applyFont="1" applyBorder="1"/>
    <xf numFmtId="0" fontId="3" fillId="28" borderId="22" xfId="0" applyFont="1" applyFill="1" applyBorder="1"/>
    <xf numFmtId="0" fontId="18" fillId="0" borderId="25" xfId="17" applyFont="1" applyBorder="1"/>
    <xf numFmtId="170" fontId="1" fillId="0" borderId="22" xfId="14" applyNumberFormat="1" applyFont="1" applyBorder="1" applyProtection="1"/>
    <xf numFmtId="10" fontId="10" fillId="0" borderId="22" xfId="16" applyNumberFormat="1" applyFont="1" applyBorder="1" applyProtection="1"/>
    <xf numFmtId="10" fontId="10" fillId="0" borderId="22" xfId="17" applyNumberFormat="1" applyBorder="1"/>
    <xf numFmtId="10" fontId="18" fillId="0" borderId="22" xfId="17" applyNumberFormat="1" applyFont="1" applyBorder="1"/>
    <xf numFmtId="3" fontId="18" fillId="12" borderId="22" xfId="17" applyNumberFormat="1" applyFont="1" applyFill="1" applyBorder="1"/>
    <xf numFmtId="0" fontId="18" fillId="0" borderId="37" xfId="17" applyFont="1" applyBorder="1"/>
    <xf numFmtId="0" fontId="18" fillId="0" borderId="35" xfId="17" applyFont="1" applyBorder="1" applyAlignment="1">
      <alignment horizontal="right"/>
    </xf>
    <xf numFmtId="170" fontId="3" fillId="28" borderId="22" xfId="14" applyNumberFormat="1" applyFont="1" applyFill="1" applyBorder="1" applyProtection="1"/>
    <xf numFmtId="0" fontId="0" fillId="28" borderId="22" xfId="0" applyFill="1" applyBorder="1"/>
    <xf numFmtId="170" fontId="1" fillId="28" borderId="22" xfId="14" applyNumberFormat="1" applyFont="1" applyFill="1" applyBorder="1" applyProtection="1"/>
    <xf numFmtId="171" fontId="40" fillId="12" borderId="38" xfId="18" applyNumberFormat="1" applyFont="1" applyFill="1" applyBorder="1"/>
    <xf numFmtId="0" fontId="10" fillId="0" borderId="35" xfId="17" applyBorder="1" applyAlignment="1">
      <alignment horizontal="left"/>
    </xf>
    <xf numFmtId="0" fontId="19" fillId="0" borderId="0" xfId="0" applyFont="1" applyAlignment="1">
      <alignment horizontal="right"/>
    </xf>
    <xf numFmtId="3" fontId="16" fillId="0" borderId="22" xfId="0" applyNumberFormat="1" applyFont="1" applyBorder="1"/>
    <xf numFmtId="0" fontId="10" fillId="28" borderId="35" xfId="17" applyFill="1" applyBorder="1" applyAlignment="1">
      <alignment horizontal="left"/>
    </xf>
    <xf numFmtId="0" fontId="18" fillId="28" borderId="25" xfId="17" applyFont="1" applyFill="1" applyBorder="1" applyAlignment="1">
      <alignment horizontal="right"/>
    </xf>
    <xf numFmtId="10" fontId="18" fillId="28" borderId="22" xfId="17" applyNumberFormat="1" applyFont="1" applyFill="1" applyBorder="1"/>
    <xf numFmtId="3" fontId="18" fillId="28" borderId="22" xfId="17" applyNumberFormat="1" applyFont="1" applyFill="1" applyBorder="1"/>
    <xf numFmtId="3" fontId="10" fillId="28" borderId="22" xfId="17" applyNumberFormat="1" applyFill="1" applyBorder="1"/>
    <xf numFmtId="3" fontId="10" fillId="28" borderId="36" xfId="17" applyNumberFormat="1" applyFill="1" applyBorder="1"/>
    <xf numFmtId="3" fontId="17" fillId="9" borderId="22" xfId="0" applyNumberFormat="1" applyFont="1" applyFill="1" applyBorder="1"/>
    <xf numFmtId="0" fontId="17" fillId="9" borderId="22" xfId="0" applyFont="1" applyFill="1" applyBorder="1"/>
    <xf numFmtId="0" fontId="18" fillId="0" borderId="35" xfId="17" applyFont="1" applyBorder="1" applyAlignment="1">
      <alignment horizontal="left"/>
    </xf>
    <xf numFmtId="3" fontId="17" fillId="0" borderId="22" xfId="0" applyNumberFormat="1" applyFont="1" applyBorder="1"/>
    <xf numFmtId="10" fontId="16" fillId="0" borderId="22" xfId="2" applyNumberFormat="1" applyFont="1" applyBorder="1" applyAlignment="1" applyProtection="1">
      <alignment horizontal="center"/>
    </xf>
    <xf numFmtId="0" fontId="18" fillId="28" borderId="35" xfId="17" applyFont="1" applyFill="1" applyBorder="1" applyAlignment="1">
      <alignment horizontal="left"/>
    </xf>
    <xf numFmtId="10" fontId="17" fillId="0" borderId="22" xfId="2" applyNumberFormat="1" applyFont="1" applyBorder="1" applyAlignment="1" applyProtection="1">
      <alignment horizontal="center"/>
    </xf>
    <xf numFmtId="3" fontId="18" fillId="12" borderId="22" xfId="17" applyNumberFormat="1" applyFont="1" applyFill="1" applyBorder="1" applyProtection="1">
      <protection locked="0"/>
    </xf>
    <xf numFmtId="0" fontId="16" fillId="0" borderId="22" xfId="0" applyFont="1" applyBorder="1"/>
    <xf numFmtId="0" fontId="16" fillId="0" borderId="0" xfId="0" applyFont="1"/>
    <xf numFmtId="3" fontId="10" fillId="12" borderId="22" xfId="17" applyNumberFormat="1" applyFill="1" applyBorder="1" applyProtection="1">
      <protection locked="0"/>
    </xf>
    <xf numFmtId="3" fontId="10" fillId="12" borderId="22" xfId="17" applyNumberFormat="1" applyFill="1" applyBorder="1"/>
    <xf numFmtId="0" fontId="18" fillId="28" borderId="35" xfId="17" applyFont="1" applyFill="1" applyBorder="1" applyAlignment="1">
      <alignment horizontal="right"/>
    </xf>
    <xf numFmtId="0" fontId="10" fillId="28" borderId="22" xfId="17" applyFill="1" applyBorder="1"/>
    <xf numFmtId="168" fontId="10" fillId="27" borderId="22" xfId="17" applyNumberFormat="1" applyFill="1" applyBorder="1" applyProtection="1">
      <protection locked="0"/>
    </xf>
    <xf numFmtId="0" fontId="18" fillId="28" borderId="35" xfId="17" applyFont="1" applyFill="1" applyBorder="1"/>
    <xf numFmtId="0" fontId="18" fillId="28" borderId="25" xfId="17" applyFont="1" applyFill="1" applyBorder="1"/>
    <xf numFmtId="9" fontId="18" fillId="28" borderId="22" xfId="17" applyNumberFormat="1" applyFont="1" applyFill="1" applyBorder="1"/>
    <xf numFmtId="3" fontId="18" fillId="28" borderId="36" xfId="17" applyNumberFormat="1" applyFont="1" applyFill="1" applyBorder="1"/>
    <xf numFmtId="0" fontId="18" fillId="28" borderId="39" xfId="17" applyFont="1" applyFill="1" applyBorder="1"/>
    <xf numFmtId="0" fontId="18" fillId="28" borderId="39" xfId="17" applyFont="1" applyFill="1" applyBorder="1" applyAlignment="1">
      <alignment horizontal="right"/>
    </xf>
    <xf numFmtId="0" fontId="10" fillId="28" borderId="40" xfId="17" applyFill="1" applyBorder="1"/>
    <xf numFmtId="3" fontId="18" fillId="28" borderId="40" xfId="17" applyNumberFormat="1" applyFont="1" applyFill="1" applyBorder="1"/>
    <xf numFmtId="3" fontId="10" fillId="28" borderId="40" xfId="17" applyNumberFormat="1" applyFill="1" applyBorder="1"/>
    <xf numFmtId="3" fontId="10" fillId="28" borderId="41" xfId="17" applyNumberFormat="1" applyFill="1" applyBorder="1"/>
    <xf numFmtId="0" fontId="3" fillId="0" borderId="22" xfId="0" applyFont="1" applyBorder="1" applyAlignment="1">
      <alignment horizontal="left"/>
    </xf>
    <xf numFmtId="10" fontId="20" fillId="0" borderId="0" xfId="0" applyNumberFormat="1" applyFont="1"/>
    <xf numFmtId="0" fontId="21" fillId="2" borderId="22" xfId="0" applyFont="1" applyFill="1" applyBorder="1"/>
    <xf numFmtId="0" fontId="21" fillId="7" borderId="22" xfId="0" applyFont="1" applyFill="1" applyBorder="1" applyAlignment="1">
      <alignment horizontal="center" vertical="center" wrapText="1"/>
    </xf>
    <xf numFmtId="0" fontId="21" fillId="7" borderId="22" xfId="0" applyFont="1" applyFill="1" applyBorder="1" applyAlignment="1">
      <alignment horizontal="center" wrapText="1"/>
    </xf>
    <xf numFmtId="4" fontId="20" fillId="0" borderId="29" xfId="0" applyNumberFormat="1" applyFont="1" applyBorder="1" applyAlignment="1">
      <alignment horizontal="right"/>
    </xf>
    <xf numFmtId="9" fontId="20" fillId="0" borderId="22" xfId="0" applyNumberFormat="1" applyFont="1" applyBorder="1" applyAlignment="1">
      <alignment horizontal="center"/>
    </xf>
    <xf numFmtId="0" fontId="13" fillId="29" borderId="22" xfId="0" applyFont="1" applyFill="1" applyBorder="1"/>
    <xf numFmtId="0" fontId="13" fillId="29" borderId="22" xfId="0" applyFont="1" applyFill="1" applyBorder="1" applyAlignment="1">
      <alignment horizontal="center"/>
    </xf>
    <xf numFmtId="3" fontId="13" fillId="29" borderId="22" xfId="0" applyNumberFormat="1" applyFont="1" applyFill="1" applyBorder="1"/>
    <xf numFmtId="0" fontId="13" fillId="24" borderId="22" xfId="0" applyFont="1" applyFill="1" applyBorder="1"/>
    <xf numFmtId="0" fontId="13" fillId="24" borderId="22" xfId="0" applyFont="1" applyFill="1" applyBorder="1" applyAlignment="1">
      <alignment horizontal="center"/>
    </xf>
    <xf numFmtId="3" fontId="13" fillId="24" borderId="22" xfId="0" applyNumberFormat="1" applyFont="1" applyFill="1" applyBorder="1"/>
    <xf numFmtId="0" fontId="13" fillId="30" borderId="22" xfId="0" applyFont="1" applyFill="1" applyBorder="1"/>
    <xf numFmtId="0" fontId="13" fillId="30" borderId="22" xfId="0" applyFont="1" applyFill="1" applyBorder="1" applyAlignment="1">
      <alignment horizontal="center"/>
    </xf>
    <xf numFmtId="3" fontId="13" fillId="30" borderId="22" xfId="0" applyNumberFormat="1" applyFont="1" applyFill="1" applyBorder="1"/>
    <xf numFmtId="0" fontId="13" fillId="11" borderId="22" xfId="0" applyFont="1" applyFill="1" applyBorder="1"/>
    <xf numFmtId="0" fontId="13" fillId="11" borderId="22" xfId="0" applyFont="1" applyFill="1" applyBorder="1" applyAlignment="1">
      <alignment horizontal="center"/>
    </xf>
    <xf numFmtId="3" fontId="13" fillId="11" borderId="22" xfId="0" applyNumberFormat="1" applyFont="1" applyFill="1" applyBorder="1"/>
    <xf numFmtId="0" fontId="13" fillId="32" borderId="22" xfId="0" applyFont="1" applyFill="1" applyBorder="1"/>
    <xf numFmtId="0" fontId="13" fillId="32" borderId="22" xfId="0" applyFont="1" applyFill="1" applyBorder="1" applyAlignment="1">
      <alignment horizontal="center"/>
    </xf>
    <xf numFmtId="3" fontId="13" fillId="32" borderId="22" xfId="0" applyNumberFormat="1" applyFont="1" applyFill="1" applyBorder="1"/>
    <xf numFmtId="0" fontId="13" fillId="33" borderId="22" xfId="0" applyFont="1" applyFill="1" applyBorder="1"/>
    <xf numFmtId="0" fontId="13" fillId="33" borderId="22" xfId="0" applyFont="1" applyFill="1" applyBorder="1" applyAlignment="1">
      <alignment horizontal="center"/>
    </xf>
    <xf numFmtId="3" fontId="13" fillId="33" borderId="22" xfId="0" applyNumberFormat="1" applyFont="1" applyFill="1" applyBorder="1"/>
    <xf numFmtId="0" fontId="42" fillId="31" borderId="22" xfId="0" applyFont="1" applyFill="1" applyBorder="1"/>
    <xf numFmtId="0" fontId="42" fillId="31" borderId="22" xfId="0" applyFont="1" applyFill="1" applyBorder="1" applyAlignment="1">
      <alignment horizontal="center"/>
    </xf>
    <xf numFmtId="3" fontId="42" fillId="31" borderId="22" xfId="0" applyNumberFormat="1" applyFont="1" applyFill="1" applyBorder="1"/>
    <xf numFmtId="0" fontId="42" fillId="34" borderId="22" xfId="0" applyFont="1" applyFill="1" applyBorder="1"/>
    <xf numFmtId="0" fontId="42" fillId="34" borderId="22" xfId="0" applyFont="1" applyFill="1" applyBorder="1" applyAlignment="1">
      <alignment horizontal="center"/>
    </xf>
    <xf numFmtId="3" fontId="42" fillId="34" borderId="22" xfId="0" applyNumberFormat="1" applyFont="1" applyFill="1" applyBorder="1"/>
    <xf numFmtId="0" fontId="13" fillId="23" borderId="22" xfId="0" applyFont="1" applyFill="1" applyBorder="1"/>
    <xf numFmtId="0" fontId="13" fillId="23" borderId="22" xfId="0" applyFont="1" applyFill="1" applyBorder="1" applyAlignment="1">
      <alignment horizontal="center"/>
    </xf>
    <xf numFmtId="3" fontId="13" fillId="23" borderId="22" xfId="0" applyNumberFormat="1" applyFont="1" applyFill="1" applyBorder="1"/>
    <xf numFmtId="0" fontId="13" fillId="35" borderId="22" xfId="0" applyFont="1" applyFill="1" applyBorder="1"/>
    <xf numFmtId="0" fontId="13" fillId="35" borderId="22" xfId="0" applyFont="1" applyFill="1" applyBorder="1" applyAlignment="1">
      <alignment horizontal="center"/>
    </xf>
    <xf numFmtId="3" fontId="13" fillId="35" borderId="22" xfId="0" applyNumberFormat="1" applyFont="1" applyFill="1" applyBorder="1"/>
    <xf numFmtId="0" fontId="13" fillId="36" borderId="22" xfId="0" applyFont="1" applyFill="1" applyBorder="1"/>
    <xf numFmtId="0" fontId="13" fillId="36" borderId="22" xfId="0" applyFont="1" applyFill="1" applyBorder="1" applyAlignment="1">
      <alignment horizontal="center"/>
    </xf>
    <xf numFmtId="3" fontId="13" fillId="36" borderId="22" xfId="0" applyNumberFormat="1" applyFont="1" applyFill="1" applyBorder="1"/>
    <xf numFmtId="0" fontId="42" fillId="37" borderId="22" xfId="0" applyFont="1" applyFill="1" applyBorder="1"/>
    <xf numFmtId="0" fontId="42" fillId="37" borderId="22" xfId="0" applyFont="1" applyFill="1" applyBorder="1" applyAlignment="1">
      <alignment horizontal="center"/>
    </xf>
    <xf numFmtId="3" fontId="42" fillId="37" borderId="22" xfId="0" applyNumberFormat="1" applyFont="1" applyFill="1" applyBorder="1"/>
    <xf numFmtId="0" fontId="13" fillId="38" borderId="22" xfId="0" applyFont="1" applyFill="1" applyBorder="1"/>
    <xf numFmtId="0" fontId="13" fillId="38" borderId="22" xfId="0" applyFont="1" applyFill="1" applyBorder="1" applyAlignment="1">
      <alignment horizontal="center"/>
    </xf>
    <xf numFmtId="3" fontId="13" fillId="38" borderId="22" xfId="0" applyNumberFormat="1" applyFont="1" applyFill="1" applyBorder="1"/>
    <xf numFmtId="0" fontId="13" fillId="19" borderId="22" xfId="0" applyFont="1" applyFill="1" applyBorder="1"/>
    <xf numFmtId="0" fontId="13" fillId="19" borderId="22" xfId="0" applyFont="1" applyFill="1" applyBorder="1" applyAlignment="1">
      <alignment horizontal="center"/>
    </xf>
    <xf numFmtId="3" fontId="13" fillId="19" borderId="22" xfId="0" applyNumberFormat="1" applyFont="1" applyFill="1" applyBorder="1"/>
    <xf numFmtId="0" fontId="13" fillId="25" borderId="22" xfId="0" applyFont="1" applyFill="1" applyBorder="1"/>
    <xf numFmtId="0" fontId="13" fillId="25" borderId="22" xfId="0" applyFont="1" applyFill="1" applyBorder="1" applyAlignment="1">
      <alignment horizontal="center"/>
    </xf>
    <xf numFmtId="3" fontId="13" fillId="25" borderId="22" xfId="0" applyNumberFormat="1" applyFont="1" applyFill="1" applyBorder="1"/>
    <xf numFmtId="0" fontId="42" fillId="39" borderId="22" xfId="0" applyFont="1" applyFill="1" applyBorder="1"/>
    <xf numFmtId="0" fontId="42" fillId="39" borderId="22" xfId="0" applyFont="1" applyFill="1" applyBorder="1" applyAlignment="1">
      <alignment horizontal="center"/>
    </xf>
    <xf numFmtId="3" fontId="42" fillId="39" borderId="22" xfId="0" applyNumberFormat="1" applyFont="1" applyFill="1" applyBorder="1"/>
    <xf numFmtId="0" fontId="13" fillId="10" borderId="22" xfId="0" applyFont="1" applyFill="1" applyBorder="1"/>
    <xf numFmtId="0" fontId="13" fillId="10" borderId="22" xfId="0" applyFont="1" applyFill="1" applyBorder="1" applyAlignment="1">
      <alignment horizontal="center"/>
    </xf>
    <xf numFmtId="3" fontId="13" fillId="10" borderId="22" xfId="0" applyNumberFormat="1" applyFont="1" applyFill="1" applyBorder="1"/>
    <xf numFmtId="0" fontId="13" fillId="40" borderId="22" xfId="0" applyFont="1" applyFill="1" applyBorder="1"/>
    <xf numFmtId="0" fontId="13" fillId="40" borderId="22" xfId="0" applyFont="1" applyFill="1" applyBorder="1" applyAlignment="1">
      <alignment horizontal="center"/>
    </xf>
    <xf numFmtId="3" fontId="13" fillId="40" borderId="22" xfId="0" applyNumberFormat="1" applyFont="1" applyFill="1" applyBorder="1"/>
    <xf numFmtId="0" fontId="13" fillId="41" borderId="22" xfId="0" applyFont="1" applyFill="1" applyBorder="1"/>
    <xf numFmtId="0" fontId="13" fillId="41" borderId="22" xfId="0" applyFont="1" applyFill="1" applyBorder="1" applyAlignment="1">
      <alignment horizontal="center"/>
    </xf>
    <xf numFmtId="3" fontId="13" fillId="41" borderId="22" xfId="0" applyNumberFormat="1" applyFont="1" applyFill="1" applyBorder="1"/>
    <xf numFmtId="0" fontId="42" fillId="43" borderId="22" xfId="0" applyFont="1" applyFill="1" applyBorder="1"/>
    <xf numFmtId="0" fontId="42" fillId="43" borderId="22" xfId="0" applyFont="1" applyFill="1" applyBorder="1" applyAlignment="1">
      <alignment horizontal="center"/>
    </xf>
    <xf numFmtId="3" fontId="42" fillId="43" borderId="22" xfId="0" applyNumberFormat="1" applyFont="1" applyFill="1" applyBorder="1"/>
    <xf numFmtId="0" fontId="13" fillId="17" borderId="22" xfId="0" applyFont="1" applyFill="1" applyBorder="1"/>
    <xf numFmtId="0" fontId="13" fillId="17" borderId="22" xfId="0" applyFont="1" applyFill="1" applyBorder="1" applyAlignment="1">
      <alignment horizontal="center"/>
    </xf>
    <xf numFmtId="3" fontId="13" fillId="17" borderId="22" xfId="0" applyNumberFormat="1" applyFont="1" applyFill="1" applyBorder="1"/>
    <xf numFmtId="0" fontId="13" fillId="9" borderId="22" xfId="0" applyFont="1" applyFill="1" applyBorder="1"/>
    <xf numFmtId="3" fontId="13" fillId="9" borderId="22" xfId="0" applyNumberFormat="1" applyFont="1" applyFill="1" applyBorder="1"/>
    <xf numFmtId="0" fontId="13" fillId="15" borderId="22" xfId="0" applyFont="1" applyFill="1" applyBorder="1"/>
    <xf numFmtId="0" fontId="13" fillId="15" borderId="22" xfId="0" applyFont="1" applyFill="1" applyBorder="1" applyAlignment="1">
      <alignment horizontal="center"/>
    </xf>
    <xf numFmtId="3" fontId="13" fillId="15" borderId="22" xfId="0" applyNumberFormat="1" applyFont="1" applyFill="1" applyBorder="1"/>
    <xf numFmtId="0" fontId="42" fillId="44" borderId="22" xfId="0" applyFont="1" applyFill="1" applyBorder="1"/>
    <xf numFmtId="0" fontId="42" fillId="44" borderId="22" xfId="0" applyFont="1" applyFill="1" applyBorder="1" applyAlignment="1">
      <alignment horizontal="center"/>
    </xf>
    <xf numFmtId="3" fontId="42" fillId="44" borderId="22" xfId="0" applyNumberFormat="1" applyFont="1" applyFill="1" applyBorder="1"/>
    <xf numFmtId="0" fontId="13" fillId="45" borderId="22" xfId="0" applyFont="1" applyFill="1" applyBorder="1"/>
    <xf numFmtId="0" fontId="13" fillId="45" borderId="22" xfId="0" applyFont="1" applyFill="1" applyBorder="1" applyAlignment="1">
      <alignment horizontal="center"/>
    </xf>
    <xf numFmtId="3" fontId="13" fillId="45" borderId="22" xfId="0" applyNumberFormat="1" applyFont="1" applyFill="1" applyBorder="1"/>
    <xf numFmtId="0" fontId="13" fillId="46" borderId="22" xfId="0" applyFont="1" applyFill="1" applyBorder="1"/>
    <xf numFmtId="0" fontId="13" fillId="46" borderId="22" xfId="0" applyFont="1" applyFill="1" applyBorder="1" applyAlignment="1">
      <alignment horizontal="center"/>
    </xf>
    <xf numFmtId="3" fontId="13" fillId="46" borderId="22" xfId="0" applyNumberFormat="1" applyFont="1" applyFill="1" applyBorder="1"/>
    <xf numFmtId="0" fontId="13" fillId="47" borderId="22" xfId="0" applyFont="1" applyFill="1" applyBorder="1"/>
    <xf numFmtId="0" fontId="13" fillId="47" borderId="22" xfId="0" applyFont="1" applyFill="1" applyBorder="1" applyAlignment="1">
      <alignment horizontal="center"/>
    </xf>
    <xf numFmtId="3" fontId="13" fillId="47" borderId="22" xfId="0" applyNumberFormat="1" applyFont="1" applyFill="1" applyBorder="1"/>
    <xf numFmtId="0" fontId="42" fillId="48" borderId="22" xfId="0" applyFont="1" applyFill="1" applyBorder="1"/>
    <xf numFmtId="0" fontId="42" fillId="48" borderId="22" xfId="0" applyFont="1" applyFill="1" applyBorder="1" applyAlignment="1">
      <alignment horizontal="center"/>
    </xf>
    <xf numFmtId="3" fontId="42" fillId="48" borderId="22" xfId="0" applyNumberFormat="1" applyFont="1" applyFill="1" applyBorder="1"/>
    <xf numFmtId="0" fontId="13" fillId="49" borderId="22" xfId="0" applyFont="1" applyFill="1" applyBorder="1"/>
    <xf numFmtId="0" fontId="13" fillId="49" borderId="22" xfId="0" applyFont="1" applyFill="1" applyBorder="1" applyAlignment="1">
      <alignment horizontal="center"/>
    </xf>
    <xf numFmtId="3" fontId="13" fillId="49" borderId="22" xfId="0" applyNumberFormat="1" applyFont="1" applyFill="1" applyBorder="1"/>
    <xf numFmtId="0" fontId="13" fillId="50" borderId="22" xfId="0" applyFont="1" applyFill="1" applyBorder="1"/>
    <xf numFmtId="0" fontId="13" fillId="50" borderId="22" xfId="0" applyFont="1" applyFill="1" applyBorder="1" applyAlignment="1">
      <alignment horizontal="center"/>
    </xf>
    <xf numFmtId="3" fontId="13" fillId="50" borderId="22" xfId="0" applyNumberFormat="1" applyFont="1" applyFill="1" applyBorder="1"/>
    <xf numFmtId="0" fontId="13" fillId="51" borderId="22" xfId="0" applyFont="1" applyFill="1" applyBorder="1"/>
    <xf numFmtId="0" fontId="13" fillId="51" borderId="22" xfId="0" applyFont="1" applyFill="1" applyBorder="1" applyAlignment="1">
      <alignment horizontal="center"/>
    </xf>
    <xf numFmtId="3" fontId="13" fillId="51" borderId="22" xfId="0" applyNumberFormat="1" applyFont="1" applyFill="1" applyBorder="1"/>
    <xf numFmtId="0" fontId="42" fillId="52" borderId="22" xfId="0" applyFont="1" applyFill="1" applyBorder="1"/>
    <xf numFmtId="0" fontId="42" fillId="52" borderId="22" xfId="0" applyFont="1" applyFill="1" applyBorder="1" applyAlignment="1">
      <alignment horizontal="center"/>
    </xf>
    <xf numFmtId="3" fontId="42" fillId="52" borderId="22" xfId="0" applyNumberFormat="1" applyFont="1" applyFill="1" applyBorder="1"/>
    <xf numFmtId="0" fontId="9" fillId="2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3" fillId="53" borderId="22" xfId="0" applyFont="1" applyFill="1" applyBorder="1"/>
    <xf numFmtId="0" fontId="13" fillId="53" borderId="22" xfId="0" applyFont="1" applyFill="1" applyBorder="1" applyAlignment="1">
      <alignment horizontal="center"/>
    </xf>
    <xf numFmtId="3" fontId="13" fillId="53" borderId="22" xfId="0" applyNumberFormat="1" applyFont="1" applyFill="1" applyBorder="1"/>
    <xf numFmtId="0" fontId="13" fillId="54" borderId="22" xfId="0" applyFont="1" applyFill="1" applyBorder="1"/>
    <xf numFmtId="0" fontId="13" fillId="54" borderId="22" xfId="0" applyFont="1" applyFill="1" applyBorder="1" applyAlignment="1">
      <alignment horizontal="center"/>
    </xf>
    <xf numFmtId="3" fontId="13" fillId="54" borderId="22" xfId="0" applyNumberFormat="1" applyFont="1" applyFill="1" applyBorder="1"/>
    <xf numFmtId="0" fontId="13" fillId="55" borderId="22" xfId="0" applyFont="1" applyFill="1" applyBorder="1"/>
    <xf numFmtId="0" fontId="13" fillId="55" borderId="22" xfId="0" applyFont="1" applyFill="1" applyBorder="1" applyAlignment="1">
      <alignment horizontal="center"/>
    </xf>
    <xf numFmtId="3" fontId="13" fillId="55" borderId="22" xfId="0" applyNumberFormat="1" applyFont="1" applyFill="1" applyBorder="1"/>
    <xf numFmtId="0" fontId="42" fillId="56" borderId="22" xfId="0" applyFont="1" applyFill="1" applyBorder="1"/>
    <xf numFmtId="0" fontId="42" fillId="56" borderId="22" xfId="0" applyFont="1" applyFill="1" applyBorder="1" applyAlignment="1">
      <alignment horizontal="center"/>
    </xf>
    <xf numFmtId="3" fontId="42" fillId="56" borderId="22" xfId="0" applyNumberFormat="1" applyFont="1" applyFill="1" applyBorder="1"/>
    <xf numFmtId="0" fontId="13" fillId="4" borderId="22" xfId="0" applyFont="1" applyFill="1" applyBorder="1" applyAlignment="1">
      <alignment horizontal="center"/>
    </xf>
    <xf numFmtId="3" fontId="13" fillId="4" borderId="22" xfId="0" applyNumberFormat="1" applyFont="1" applyFill="1" applyBorder="1"/>
    <xf numFmtId="0" fontId="23" fillId="11" borderId="22" xfId="0" applyFont="1" applyFill="1" applyBorder="1" applyAlignment="1">
      <alignment vertical="center" wrapText="1"/>
    </xf>
    <xf numFmtId="0" fontId="23" fillId="32" borderId="22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13" fillId="33" borderId="22" xfId="0" applyFont="1" applyFill="1" applyBorder="1" applyAlignment="1">
      <alignment horizontal="center" vertical="center"/>
    </xf>
    <xf numFmtId="0" fontId="23" fillId="22" borderId="22" xfId="0" applyFont="1" applyFill="1" applyBorder="1" applyAlignment="1">
      <alignment vertical="center" wrapText="1"/>
    </xf>
    <xf numFmtId="0" fontId="13" fillId="22" borderId="22" xfId="0" applyFont="1" applyFill="1" applyBorder="1" applyAlignment="1">
      <alignment horizontal="center"/>
    </xf>
    <xf numFmtId="3" fontId="13" fillId="22" borderId="22" xfId="0" applyNumberFormat="1" applyFont="1" applyFill="1" applyBorder="1"/>
    <xf numFmtId="2" fontId="24" fillId="17" borderId="22" xfId="0" applyNumberFormat="1" applyFont="1" applyFill="1" applyBorder="1" applyAlignment="1">
      <alignment horizontal="center" vertical="center"/>
    </xf>
    <xf numFmtId="2" fontId="24" fillId="9" borderId="22" xfId="0" applyNumberFormat="1" applyFont="1" applyFill="1" applyBorder="1" applyAlignment="1">
      <alignment horizontal="center"/>
    </xf>
    <xf numFmtId="4" fontId="24" fillId="15" borderId="22" xfId="0" applyNumberFormat="1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2" fontId="21" fillId="57" borderId="2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21" fillId="42" borderId="22" xfId="0" applyFont="1" applyFill="1" applyBorder="1" applyAlignment="1">
      <alignment horizontal="center" vertical="center"/>
    </xf>
    <xf numFmtId="4" fontId="21" fillId="42" borderId="22" xfId="0" applyNumberFormat="1" applyFont="1" applyFill="1" applyBorder="1" applyAlignment="1">
      <alignment horizontal="center" vertical="center"/>
    </xf>
    <xf numFmtId="3" fontId="20" fillId="14" borderId="22" xfId="0" applyNumberFormat="1" applyFont="1" applyFill="1" applyBorder="1" applyAlignment="1">
      <alignment horizontal="center"/>
    </xf>
    <xf numFmtId="0" fontId="43" fillId="2" borderId="3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29" fillId="0" borderId="0" xfId="0" applyFont="1"/>
    <xf numFmtId="9" fontId="44" fillId="0" borderId="1" xfId="2" applyFont="1" applyBorder="1" applyAlignment="1">
      <alignment horizontal="center" vertical="center" wrapText="1"/>
    </xf>
    <xf numFmtId="164" fontId="44" fillId="0" borderId="1" xfId="9" applyNumberFormat="1" applyFont="1" applyBorder="1" applyAlignment="1">
      <alignment horizontal="right" vertical="center" wrapText="1"/>
    </xf>
    <xf numFmtId="164" fontId="44" fillId="0" borderId="1" xfId="1" applyNumberFormat="1" applyFont="1" applyBorder="1" applyAlignment="1">
      <alignment horizontal="right" vertical="center" wrapText="1"/>
    </xf>
    <xf numFmtId="0" fontId="31" fillId="0" borderId="0" xfId="0" applyFont="1"/>
    <xf numFmtId="10" fontId="32" fillId="0" borderId="22" xfId="2" applyNumberFormat="1" applyFont="1" applyBorder="1" applyAlignment="1"/>
    <xf numFmtId="0" fontId="28" fillId="58" borderId="22" xfId="0" applyFont="1" applyFill="1" applyBorder="1" applyAlignment="1">
      <alignment horizontal="center"/>
    </xf>
    <xf numFmtId="0" fontId="21" fillId="31" borderId="22" xfId="0" applyFont="1" applyFill="1" applyBorder="1" applyAlignment="1">
      <alignment horizontal="center"/>
    </xf>
    <xf numFmtId="0" fontId="24" fillId="9" borderId="22" xfId="0" applyFont="1" applyFill="1" applyBorder="1" applyAlignment="1">
      <alignment horizontal="center"/>
    </xf>
    <xf numFmtId="0" fontId="43" fillId="2" borderId="22" xfId="0" applyFont="1" applyFill="1" applyBorder="1" applyAlignment="1">
      <alignment horizontal="center"/>
    </xf>
    <xf numFmtId="0" fontId="21" fillId="13" borderId="28" xfId="0" applyFont="1" applyFill="1" applyBorder="1" applyAlignment="1">
      <alignment horizontal="center"/>
    </xf>
    <xf numFmtId="0" fontId="49" fillId="0" borderId="0" xfId="0" applyFont="1"/>
    <xf numFmtId="0" fontId="21" fillId="59" borderId="46" xfId="0" applyFont="1" applyFill="1" applyBorder="1" applyAlignment="1">
      <alignment horizontal="center" vertical="center"/>
    </xf>
    <xf numFmtId="0" fontId="21" fillId="59" borderId="43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4" fillId="0" borderId="0" xfId="0" applyFont="1"/>
    <xf numFmtId="44" fontId="20" fillId="0" borderId="0" xfId="1" applyFont="1"/>
    <xf numFmtId="44" fontId="20" fillId="4" borderId="22" xfId="1" applyFont="1" applyFill="1" applyBorder="1" applyAlignment="1">
      <alignment vertical="center"/>
    </xf>
    <xf numFmtId="0" fontId="20" fillId="23" borderId="47" xfId="0" applyFont="1" applyFill="1" applyBorder="1" applyAlignment="1">
      <alignment vertical="center"/>
    </xf>
    <xf numFmtId="0" fontId="20" fillId="23" borderId="48" xfId="0" applyFont="1" applyFill="1" applyBorder="1" applyAlignment="1">
      <alignment vertical="center"/>
    </xf>
    <xf numFmtId="0" fontId="50" fillId="58" borderId="22" xfId="0" applyFont="1" applyFill="1" applyBorder="1" applyAlignment="1">
      <alignment horizontal="center"/>
    </xf>
    <xf numFmtId="0" fontId="51" fillId="0" borderId="0" xfId="0" applyFont="1"/>
    <xf numFmtId="39" fontId="53" fillId="0" borderId="49" xfId="14" applyNumberFormat="1" applyFont="1" applyBorder="1" applyAlignment="1" applyProtection="1">
      <alignment horizontal="center" vertical="center" wrapText="1"/>
      <protection hidden="1"/>
    </xf>
    <xf numFmtId="0" fontId="33" fillId="0" borderId="26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vertical="center"/>
    </xf>
    <xf numFmtId="9" fontId="20" fillId="0" borderId="0" xfId="2" applyFont="1" applyFill="1" applyBorder="1" applyAlignment="1">
      <alignment vertical="center"/>
    </xf>
    <xf numFmtId="3" fontId="20" fillId="0" borderId="0" xfId="0" applyNumberFormat="1" applyFont="1" applyAlignment="1">
      <alignment vertical="center"/>
    </xf>
    <xf numFmtId="4" fontId="24" fillId="0" borderId="0" xfId="0" applyNumberFormat="1" applyFont="1"/>
    <xf numFmtId="0" fontId="54" fillId="17" borderId="54" xfId="0" applyFont="1" applyFill="1" applyBorder="1" applyAlignment="1" applyProtection="1">
      <alignment vertical="center" wrapText="1"/>
      <protection hidden="1"/>
    </xf>
    <xf numFmtId="0" fontId="21" fillId="60" borderId="53" xfId="0" applyFont="1" applyFill="1" applyBorder="1" applyAlignment="1">
      <alignment horizontal="center" vertical="center"/>
    </xf>
    <xf numFmtId="0" fontId="22" fillId="16" borderId="55" xfId="0" applyFont="1" applyFill="1" applyBorder="1" applyAlignment="1">
      <alignment horizontal="center" vertical="center" wrapText="1"/>
    </xf>
    <xf numFmtId="0" fontId="22" fillId="16" borderId="56" xfId="0" applyFont="1" applyFill="1" applyBorder="1" applyAlignment="1">
      <alignment horizontal="center" vertical="center" wrapText="1"/>
    </xf>
    <xf numFmtId="39" fontId="53" fillId="14" borderId="44" xfId="14" applyNumberFormat="1" applyFont="1" applyFill="1" applyBorder="1" applyAlignment="1" applyProtection="1">
      <alignment horizontal="center" vertical="center" wrapText="1"/>
      <protection hidden="1"/>
    </xf>
    <xf numFmtId="10" fontId="20" fillId="0" borderId="22" xfId="2" applyNumberFormat="1" applyFont="1" applyBorder="1" applyAlignment="1">
      <alignment vertical="center"/>
    </xf>
    <xf numFmtId="0" fontId="21" fillId="60" borderId="42" xfId="0" applyFont="1" applyFill="1" applyBorder="1" applyAlignment="1">
      <alignment horizontal="center" vertical="center"/>
    </xf>
    <xf numFmtId="0" fontId="24" fillId="23" borderId="46" xfId="0" applyFont="1" applyFill="1" applyBorder="1" applyAlignment="1">
      <alignment horizontal="center"/>
    </xf>
    <xf numFmtId="0" fontId="21" fillId="31" borderId="47" xfId="0" applyFont="1" applyFill="1" applyBorder="1" applyAlignment="1">
      <alignment horizontal="center"/>
    </xf>
    <xf numFmtId="0" fontId="24" fillId="25" borderId="47" xfId="0" applyFont="1" applyFill="1" applyBorder="1" applyAlignment="1">
      <alignment horizontal="center"/>
    </xf>
    <xf numFmtId="4" fontId="24" fillId="9" borderId="26" xfId="0" applyNumberFormat="1" applyFont="1" applyFill="1" applyBorder="1"/>
    <xf numFmtId="0" fontId="21" fillId="26" borderId="48" xfId="0" applyFont="1" applyFill="1" applyBorder="1" applyAlignment="1">
      <alignment horizontal="center"/>
    </xf>
    <xf numFmtId="0" fontId="21" fillId="94" borderId="28" xfId="0" applyFont="1" applyFill="1" applyBorder="1" applyAlignment="1">
      <alignment horizontal="center"/>
    </xf>
    <xf numFmtId="0" fontId="21" fillId="94" borderId="22" xfId="0" applyFont="1" applyFill="1" applyBorder="1" applyAlignment="1">
      <alignment horizontal="center"/>
    </xf>
    <xf numFmtId="10" fontId="24" fillId="19" borderId="52" xfId="2" applyNumberFormat="1" applyFont="1" applyFill="1" applyBorder="1" applyAlignment="1">
      <alignment horizontal="center" vertical="center"/>
    </xf>
    <xf numFmtId="0" fontId="21" fillId="94" borderId="66" xfId="0" applyFont="1" applyFill="1" applyBorder="1" applyAlignment="1">
      <alignment horizontal="center"/>
    </xf>
    <xf numFmtId="0" fontId="24" fillId="23" borderId="24" xfId="0" applyFont="1" applyFill="1" applyBorder="1" applyAlignment="1">
      <alignment horizontal="center"/>
    </xf>
    <xf numFmtId="0" fontId="24" fillId="23" borderId="42" xfId="0" applyFont="1" applyFill="1" applyBorder="1" applyAlignment="1">
      <alignment horizontal="center"/>
    </xf>
    <xf numFmtId="9" fontId="20" fillId="0" borderId="0" xfId="2" applyFont="1" applyAlignment="1">
      <alignment horizontal="center" vertical="center"/>
    </xf>
    <xf numFmtId="9" fontId="20" fillId="0" borderId="31" xfId="0" applyNumberFormat="1" applyFont="1" applyBorder="1" applyAlignment="1">
      <alignment horizontal="center" vertical="center"/>
    </xf>
    <xf numFmtId="9" fontId="20" fillId="0" borderId="35" xfId="0" applyNumberFormat="1" applyFont="1" applyBorder="1" applyAlignment="1">
      <alignment horizontal="center" vertical="center"/>
    </xf>
    <xf numFmtId="9" fontId="20" fillId="0" borderId="39" xfId="0" applyNumberFormat="1" applyFont="1" applyBorder="1" applyAlignment="1">
      <alignment horizontal="center" vertical="center"/>
    </xf>
    <xf numFmtId="9" fontId="54" fillId="17" borderId="54" xfId="2" applyFont="1" applyFill="1" applyBorder="1" applyAlignment="1" applyProtection="1">
      <alignment horizontal="center" vertical="center" wrapText="1"/>
      <protection hidden="1"/>
    </xf>
    <xf numFmtId="10" fontId="53" fillId="0" borderId="46" xfId="2" applyNumberFormat="1" applyFont="1" applyBorder="1" applyAlignment="1" applyProtection="1">
      <alignment horizontal="center" vertical="center" wrapText="1"/>
      <protection hidden="1"/>
    </xf>
    <xf numFmtId="10" fontId="53" fillId="0" borderId="47" xfId="2" applyNumberFormat="1" applyFont="1" applyBorder="1" applyAlignment="1" applyProtection="1">
      <alignment horizontal="center" vertical="center" wrapText="1"/>
      <protection hidden="1"/>
    </xf>
    <xf numFmtId="10" fontId="53" fillId="0" borderId="48" xfId="2" applyNumberFormat="1" applyFont="1" applyBorder="1" applyAlignment="1" applyProtection="1">
      <alignment horizontal="center" vertical="center" wrapText="1"/>
      <protection hidden="1"/>
    </xf>
    <xf numFmtId="9" fontId="54" fillId="17" borderId="0" xfId="2" applyFont="1" applyFill="1" applyBorder="1" applyAlignment="1" applyProtection="1">
      <alignment horizontal="center" vertical="center" wrapText="1"/>
      <protection hidden="1"/>
    </xf>
    <xf numFmtId="0" fontId="21" fillId="93" borderId="53" xfId="0" applyFont="1" applyFill="1" applyBorder="1" applyAlignment="1">
      <alignment horizontal="center" vertical="center"/>
    </xf>
    <xf numFmtId="10" fontId="53" fillId="0" borderId="0" xfId="2" applyNumberFormat="1" applyFont="1" applyBorder="1" applyAlignment="1" applyProtection="1">
      <alignment horizontal="center" vertical="center" wrapText="1"/>
      <protection hidden="1"/>
    </xf>
    <xf numFmtId="9" fontId="20" fillId="0" borderId="0" xfId="2" applyFont="1" applyBorder="1" applyAlignment="1">
      <alignment horizontal="center" vertical="center"/>
    </xf>
    <xf numFmtId="0" fontId="68" fillId="58" borderId="42" xfId="0" applyFont="1" applyFill="1" applyBorder="1" applyAlignment="1">
      <alignment horizontal="center" vertical="center"/>
    </xf>
    <xf numFmtId="0" fontId="21" fillId="13" borderId="67" xfId="0" applyFont="1" applyFill="1" applyBorder="1" applyAlignment="1">
      <alignment horizontal="center"/>
    </xf>
    <xf numFmtId="0" fontId="21" fillId="31" borderId="53" xfId="0" applyFont="1" applyFill="1" applyBorder="1" applyAlignment="1">
      <alignment horizontal="center"/>
    </xf>
    <xf numFmtId="42" fontId="24" fillId="0" borderId="0" xfId="0" applyNumberFormat="1" applyFont="1"/>
    <xf numFmtId="0" fontId="22" fillId="16" borderId="65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33" fillId="0" borderId="71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42" fontId="53" fillId="14" borderId="43" xfId="77" applyFont="1" applyFill="1" applyBorder="1" applyAlignment="1" applyProtection="1">
      <alignment horizontal="center" vertical="center" wrapText="1"/>
      <protection hidden="1"/>
    </xf>
    <xf numFmtId="42" fontId="53" fillId="14" borderId="44" xfId="77" applyFont="1" applyFill="1" applyBorder="1" applyAlignment="1" applyProtection="1">
      <alignment horizontal="center" vertical="center" wrapText="1"/>
      <protection hidden="1"/>
    </xf>
    <xf numFmtId="42" fontId="53" fillId="14" borderId="45" xfId="77" applyFont="1" applyFill="1" applyBorder="1" applyAlignment="1" applyProtection="1">
      <alignment horizontal="center" vertical="center" wrapText="1"/>
      <protection hidden="1"/>
    </xf>
    <xf numFmtId="39" fontId="53" fillId="14" borderId="43" xfId="14" applyNumberFormat="1" applyFont="1" applyFill="1" applyBorder="1" applyAlignment="1" applyProtection="1">
      <alignment horizontal="center" vertical="center" wrapText="1"/>
      <protection hidden="1"/>
    </xf>
    <xf numFmtId="39" fontId="53" fillId="14" borderId="45" xfId="14" applyNumberFormat="1" applyFont="1" applyFill="1" applyBorder="1" applyAlignment="1" applyProtection="1">
      <alignment horizontal="center" vertical="center" wrapText="1"/>
      <protection hidden="1"/>
    </xf>
    <xf numFmtId="0" fontId="21" fillId="58" borderId="43" xfId="0" applyFont="1" applyFill="1" applyBorder="1" applyAlignment="1">
      <alignment horizontal="center"/>
    </xf>
    <xf numFmtId="42" fontId="53" fillId="29" borderId="72" xfId="77" applyFont="1" applyFill="1" applyBorder="1" applyAlignment="1" applyProtection="1">
      <alignment horizontal="center" vertical="center" wrapText="1"/>
      <protection hidden="1"/>
    </xf>
    <xf numFmtId="42" fontId="20" fillId="23" borderId="44" xfId="77" applyFont="1" applyFill="1" applyBorder="1" applyAlignment="1">
      <alignment horizontal="center" vertical="center"/>
    </xf>
    <xf numFmtId="42" fontId="53" fillId="29" borderId="69" xfId="77" applyFont="1" applyFill="1" applyBorder="1" applyAlignment="1" applyProtection="1">
      <alignment horizontal="center" vertical="center" wrapText="1"/>
      <protection hidden="1"/>
    </xf>
    <xf numFmtId="42" fontId="20" fillId="23" borderId="45" xfId="77" applyFont="1" applyFill="1" applyBorder="1" applyAlignment="1">
      <alignment horizontal="center" vertical="center"/>
    </xf>
    <xf numFmtId="0" fontId="24" fillId="25" borderId="46" xfId="0" applyFont="1" applyFill="1" applyBorder="1" applyAlignment="1">
      <alignment horizontal="center"/>
    </xf>
    <xf numFmtId="0" fontId="24" fillId="25" borderId="34" xfId="0" applyFont="1" applyFill="1" applyBorder="1" applyAlignment="1">
      <alignment horizontal="center"/>
    </xf>
    <xf numFmtId="42" fontId="20" fillId="38" borderId="37" xfId="77" applyFont="1" applyFill="1" applyBorder="1" applyAlignment="1">
      <alignment horizontal="center" vertical="center"/>
    </xf>
    <xf numFmtId="10" fontId="20" fillId="19" borderId="74" xfId="2" applyNumberFormat="1" applyFont="1" applyFill="1" applyBorder="1" applyAlignment="1">
      <alignment horizontal="center" vertical="center"/>
    </xf>
    <xf numFmtId="42" fontId="20" fillId="38" borderId="75" xfId="77" applyFont="1" applyFill="1" applyBorder="1" applyAlignment="1">
      <alignment horizontal="center" vertical="center"/>
    </xf>
    <xf numFmtId="10" fontId="20" fillId="19" borderId="76" xfId="2" applyNumberFormat="1" applyFont="1" applyFill="1" applyBorder="1" applyAlignment="1">
      <alignment horizontal="center" vertical="center"/>
    </xf>
    <xf numFmtId="0" fontId="21" fillId="26" borderId="42" xfId="0" applyFont="1" applyFill="1" applyBorder="1" applyAlignment="1">
      <alignment horizontal="center"/>
    </xf>
    <xf numFmtId="0" fontId="24" fillId="26" borderId="34" xfId="0" applyFont="1" applyFill="1" applyBorder="1" applyAlignment="1">
      <alignment horizontal="center"/>
    </xf>
    <xf numFmtId="42" fontId="20" fillId="95" borderId="37" xfId="77" applyFont="1" applyFill="1" applyBorder="1"/>
    <xf numFmtId="9" fontId="20" fillId="61" borderId="74" xfId="2" applyFont="1" applyFill="1" applyBorder="1" applyAlignment="1">
      <alignment horizontal="center" vertical="center"/>
    </xf>
    <xf numFmtId="42" fontId="20" fillId="95" borderId="75" xfId="77" applyFont="1" applyFill="1" applyBorder="1"/>
    <xf numFmtId="1" fontId="25" fillId="0" borderId="33" xfId="0" applyNumberFormat="1" applyFont="1" applyBorder="1" applyAlignment="1">
      <alignment horizontal="center" vertical="center" shrinkToFit="1"/>
    </xf>
    <xf numFmtId="10" fontId="0" fillId="0" borderId="0" xfId="2" applyNumberFormat="1" applyFont="1"/>
    <xf numFmtId="173" fontId="20" fillId="0" borderId="22" xfId="0" applyNumberFormat="1" applyFont="1" applyBorder="1"/>
    <xf numFmtId="4" fontId="20" fillId="15" borderId="22" xfId="0" applyNumberFormat="1" applyFont="1" applyFill="1" applyBorder="1" applyAlignment="1">
      <alignment vertical="center"/>
    </xf>
    <xf numFmtId="0" fontId="20" fillId="35" borderId="0" xfId="0" applyFont="1" applyFill="1"/>
    <xf numFmtId="0" fontId="27" fillId="35" borderId="0" xfId="0" applyFont="1" applyFill="1"/>
    <xf numFmtId="10" fontId="20" fillId="0" borderId="0" xfId="2" applyNumberFormat="1" applyFont="1"/>
    <xf numFmtId="10" fontId="27" fillId="96" borderId="24" xfId="2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24" fillId="53" borderId="22" xfId="0" applyFont="1" applyFill="1" applyBorder="1" applyAlignment="1">
      <alignment horizontal="center"/>
    </xf>
    <xf numFmtId="4" fontId="20" fillId="53" borderId="22" xfId="0" applyNumberFormat="1" applyFont="1" applyFill="1" applyBorder="1"/>
    <xf numFmtId="4" fontId="24" fillId="53" borderId="22" xfId="0" applyNumberFormat="1" applyFont="1" applyFill="1" applyBorder="1"/>
    <xf numFmtId="4" fontId="24" fillId="53" borderId="22" xfId="0" applyNumberFormat="1" applyFont="1" applyFill="1" applyBorder="1" applyAlignment="1">
      <alignment horizontal="center"/>
    </xf>
    <xf numFmtId="10" fontId="24" fillId="53" borderId="22" xfId="2" applyNumberFormat="1" applyFont="1" applyFill="1" applyBorder="1" applyAlignment="1">
      <alignment horizontal="center"/>
    </xf>
    <xf numFmtId="10" fontId="20" fillId="0" borderId="22" xfId="2" applyNumberFormat="1" applyFont="1" applyBorder="1" applyAlignment="1">
      <alignment horizontal="center" vertical="center"/>
    </xf>
    <xf numFmtId="10" fontId="20" fillId="35" borderId="22" xfId="2" applyNumberFormat="1" applyFont="1" applyFill="1" applyBorder="1" applyAlignment="1">
      <alignment horizontal="center" vertical="center"/>
    </xf>
    <xf numFmtId="174" fontId="20" fillId="0" borderId="22" xfId="2" applyNumberFormat="1" applyFont="1" applyBorder="1" applyAlignment="1">
      <alignment horizontal="center" vertical="center"/>
    </xf>
    <xf numFmtId="0" fontId="24" fillId="35" borderId="22" xfId="0" applyFont="1" applyFill="1" applyBorder="1" applyAlignment="1">
      <alignment horizontal="center" vertical="center" wrapText="1"/>
    </xf>
    <xf numFmtId="4" fontId="31" fillId="14" borderId="24" xfId="0" applyNumberFormat="1" applyFont="1" applyFill="1" applyBorder="1"/>
    <xf numFmtId="0" fontId="24" fillId="14" borderId="22" xfId="0" applyFont="1" applyFill="1" applyBorder="1" applyAlignment="1">
      <alignment horizontal="center" vertical="center"/>
    </xf>
    <xf numFmtId="0" fontId="51" fillId="14" borderId="22" xfId="0" applyFont="1" applyFill="1" applyBorder="1" applyAlignment="1">
      <alignment horizontal="center"/>
    </xf>
    <xf numFmtId="0" fontId="21" fillId="13" borderId="22" xfId="0" applyFont="1" applyFill="1" applyBorder="1" applyAlignment="1">
      <alignment horizontal="center" vertical="center"/>
    </xf>
    <xf numFmtId="4" fontId="43" fillId="13" borderId="22" xfId="0" applyNumberFormat="1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3" fontId="20" fillId="14" borderId="26" xfId="0" applyNumberFormat="1" applyFont="1" applyFill="1" applyBorder="1" applyAlignment="1">
      <alignment horizontal="center"/>
    </xf>
    <xf numFmtId="0" fontId="30" fillId="14" borderId="2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3" fontId="30" fillId="0" borderId="22" xfId="0" applyNumberFormat="1" applyFont="1" applyBorder="1" applyAlignment="1">
      <alignment horizontal="center"/>
    </xf>
    <xf numFmtId="3" fontId="70" fillId="0" borderId="22" xfId="0" applyNumberFormat="1" applyFont="1" applyBorder="1" applyAlignment="1">
      <alignment horizontal="center"/>
    </xf>
    <xf numFmtId="3" fontId="70" fillId="0" borderId="0" xfId="0" applyNumberFormat="1" applyFont="1" applyAlignment="1">
      <alignment horizontal="center"/>
    </xf>
    <xf numFmtId="3" fontId="29" fillId="0" borderId="22" xfId="0" applyNumberFormat="1" applyFont="1" applyBorder="1"/>
    <xf numFmtId="9" fontId="29" fillId="0" borderId="0" xfId="2" applyFont="1" applyFill="1" applyBorder="1" applyAlignment="1">
      <alignment vertical="center"/>
    </xf>
    <xf numFmtId="1" fontId="71" fillId="0" borderId="70" xfId="0" applyNumberFormat="1" applyFont="1" applyBorder="1" applyAlignment="1">
      <alignment horizontal="center" vertical="center" shrinkToFit="1"/>
    </xf>
    <xf numFmtId="0" fontId="33" fillId="0" borderId="33" xfId="0" applyFont="1" applyBorder="1" applyAlignment="1">
      <alignment horizontal="left" vertical="center" wrapText="1"/>
    </xf>
    <xf numFmtId="1" fontId="71" fillId="0" borderId="72" xfId="0" applyNumberFormat="1" applyFont="1" applyBorder="1" applyAlignment="1">
      <alignment horizontal="center" vertical="center" shrinkToFit="1"/>
    </xf>
    <xf numFmtId="0" fontId="33" fillId="0" borderId="22" xfId="0" applyFont="1" applyBorder="1" applyAlignment="1">
      <alignment horizontal="left" vertical="center" wrapText="1"/>
    </xf>
    <xf numFmtId="1" fontId="71" fillId="0" borderId="69" xfId="0" applyNumberFormat="1" applyFont="1" applyBorder="1" applyAlignment="1">
      <alignment horizontal="center" vertical="center" shrinkToFit="1"/>
    </xf>
    <xf numFmtId="0" fontId="33" fillId="0" borderId="40" xfId="0" applyFont="1" applyBorder="1" applyAlignment="1">
      <alignment horizontal="left" vertical="center" wrapText="1"/>
    </xf>
    <xf numFmtId="4" fontId="20" fillId="9" borderId="22" xfId="0" applyNumberFormat="1" applyFont="1" applyFill="1" applyBorder="1" applyAlignment="1">
      <alignment vertical="center"/>
    </xf>
    <xf numFmtId="170" fontId="3" fillId="0" borderId="22" xfId="14" applyNumberFormat="1" applyFont="1" applyBorder="1" applyProtection="1"/>
    <xf numFmtId="4" fontId="20" fillId="0" borderId="0" xfId="0" applyNumberFormat="1" applyFont="1" applyAlignment="1">
      <alignment horizontal="center"/>
    </xf>
    <xf numFmtId="4" fontId="21" fillId="2" borderId="22" xfId="0" applyNumberFormat="1" applyFont="1" applyFill="1" applyBorder="1" applyAlignment="1">
      <alignment horizontal="center"/>
    </xf>
    <xf numFmtId="10" fontId="13" fillId="17" borderId="22" xfId="2" applyNumberFormat="1" applyFont="1" applyFill="1" applyBorder="1" applyAlignment="1">
      <alignment horizontal="center" vertical="center"/>
    </xf>
    <xf numFmtId="0" fontId="17" fillId="14" borderId="22" xfId="0" applyFont="1" applyFill="1" applyBorder="1" applyAlignment="1">
      <alignment horizontal="center" vertical="center" wrapText="1"/>
    </xf>
    <xf numFmtId="168" fontId="13" fillId="14" borderId="22" xfId="2" applyNumberFormat="1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 wrapText="1"/>
    </xf>
    <xf numFmtId="10" fontId="13" fillId="38" borderId="22" xfId="2" applyNumberFormat="1" applyFont="1" applyFill="1" applyBorder="1" applyAlignment="1">
      <alignment horizontal="center" vertical="center"/>
    </xf>
    <xf numFmtId="0" fontId="3" fillId="19" borderId="22" xfId="0" applyFont="1" applyFill="1" applyBorder="1" applyAlignment="1">
      <alignment horizontal="center" vertical="center" wrapText="1"/>
    </xf>
    <xf numFmtId="10" fontId="20" fillId="0" borderId="22" xfId="2" applyNumberFormat="1" applyFont="1" applyBorder="1" applyAlignment="1">
      <alignment horizontal="center"/>
    </xf>
    <xf numFmtId="0" fontId="20" fillId="0" borderId="22" xfId="0" applyFont="1" applyBorder="1" applyAlignment="1">
      <alignment horizontal="center" vertical="center" wrapText="1"/>
    </xf>
    <xf numFmtId="3" fontId="24" fillId="14" borderId="22" xfId="0" applyNumberFormat="1" applyFont="1" applyFill="1" applyBorder="1" applyAlignment="1">
      <alignment horizontal="center"/>
    </xf>
    <xf numFmtId="0" fontId="48" fillId="58" borderId="50" xfId="0" applyFont="1" applyFill="1" applyBorder="1" applyAlignment="1">
      <alignment horizontal="center" vertical="center"/>
    </xf>
    <xf numFmtId="0" fontId="21" fillId="58" borderId="50" xfId="0" applyFont="1" applyFill="1" applyBorder="1" applyAlignment="1">
      <alignment horizontal="center" vertical="center"/>
    </xf>
    <xf numFmtId="10" fontId="13" fillId="11" borderId="22" xfId="2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" fontId="10" fillId="27" borderId="22" xfId="17" applyNumberFormat="1" applyFill="1" applyBorder="1" applyProtection="1">
      <protection locked="0"/>
    </xf>
    <xf numFmtId="175" fontId="44" fillId="0" borderId="1" xfId="1" applyNumberFormat="1" applyFont="1" applyBorder="1" applyAlignment="1">
      <alignment horizontal="right" vertical="center" wrapText="1"/>
    </xf>
    <xf numFmtId="1" fontId="29" fillId="0" borderId="0" xfId="0" applyNumberFormat="1" applyFont="1"/>
    <xf numFmtId="0" fontId="30" fillId="17" borderId="0" xfId="0" applyFont="1" applyFill="1" applyAlignment="1">
      <alignment horizontal="center"/>
    </xf>
    <xf numFmtId="0" fontId="30" fillId="9" borderId="0" xfId="0" applyFont="1" applyFill="1" applyAlignment="1">
      <alignment horizontal="center"/>
    </xf>
    <xf numFmtId="1" fontId="52" fillId="0" borderId="77" xfId="0" applyNumberFormat="1" applyFont="1" applyBorder="1" applyAlignment="1">
      <alignment horizontal="center" vertical="center" shrinkToFit="1"/>
    </xf>
    <xf numFmtId="1" fontId="52" fillId="0" borderId="78" xfId="0" applyNumberFormat="1" applyFont="1" applyBorder="1" applyAlignment="1">
      <alignment horizontal="center" vertical="center" shrinkToFit="1"/>
    </xf>
    <xf numFmtId="1" fontId="52" fillId="0" borderId="79" xfId="0" applyNumberFormat="1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39" fontId="53" fillId="38" borderId="29" xfId="14" applyNumberFormat="1" applyFont="1" applyFill="1" applyBorder="1" applyAlignment="1" applyProtection="1">
      <alignment horizontal="center" vertical="center" wrapText="1"/>
      <protection hidden="1"/>
    </xf>
    <xf numFmtId="39" fontId="53" fillId="38" borderId="68" xfId="14" applyNumberFormat="1" applyFont="1" applyFill="1" applyBorder="1" applyAlignment="1" applyProtection="1">
      <alignment horizontal="center" vertical="center" wrapText="1"/>
      <protection hidden="1"/>
    </xf>
    <xf numFmtId="0" fontId="72" fillId="58" borderId="42" xfId="0" applyFont="1" applyFill="1" applyBorder="1" applyAlignment="1">
      <alignment horizontal="center" vertical="center"/>
    </xf>
    <xf numFmtId="4" fontId="73" fillId="0" borderId="0" xfId="0" applyNumberFormat="1" applyFont="1" applyAlignment="1">
      <alignment horizontal="center" vertical="center"/>
    </xf>
    <xf numFmtId="4" fontId="10" fillId="0" borderId="22" xfId="17" applyNumberFormat="1" applyBorder="1"/>
    <xf numFmtId="4" fontId="10" fillId="0" borderId="36" xfId="17" applyNumberFormat="1" applyBorder="1"/>
    <xf numFmtId="2" fontId="16" fillId="0" borderId="0" xfId="0" applyNumberFormat="1" applyFont="1" applyAlignment="1">
      <alignment horizontal="center"/>
    </xf>
    <xf numFmtId="176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3" fontId="31" fillId="0" borderId="22" xfId="0" applyNumberFormat="1" applyFont="1" applyBorder="1"/>
    <xf numFmtId="3" fontId="31" fillId="28" borderId="22" xfId="0" applyNumberFormat="1" applyFont="1" applyFill="1" applyBorder="1"/>
    <xf numFmtId="10" fontId="31" fillId="28" borderId="22" xfId="2" applyNumberFormat="1" applyFont="1" applyFill="1" applyBorder="1"/>
    <xf numFmtId="0" fontId="32" fillId="28" borderId="22" xfId="0" applyFont="1" applyFill="1" applyBorder="1" applyAlignment="1">
      <alignment horizontal="center" vertical="center" wrapText="1"/>
    </xf>
    <xf numFmtId="0" fontId="31" fillId="29" borderId="22" xfId="0" applyFont="1" applyFill="1" applyBorder="1"/>
    <xf numFmtId="4" fontId="31" fillId="29" borderId="22" xfId="0" applyNumberFormat="1" applyFont="1" applyFill="1" applyBorder="1"/>
    <xf numFmtId="3" fontId="31" fillId="29" borderId="22" xfId="0" applyNumberFormat="1" applyFont="1" applyFill="1" applyBorder="1"/>
    <xf numFmtId="10" fontId="31" fillId="29" borderId="22" xfId="2" applyNumberFormat="1" applyFont="1" applyFill="1" applyBorder="1"/>
    <xf numFmtId="0" fontId="5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center" wrapText="1"/>
    </xf>
    <xf numFmtId="0" fontId="44" fillId="0" borderId="9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7" xfId="0" applyFont="1" applyBorder="1" applyAlignment="1">
      <alignment horizontal="left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horizontal="left" vertical="center"/>
    </xf>
    <xf numFmtId="0" fontId="44" fillId="0" borderId="9" xfId="0" applyFont="1" applyBorder="1" applyAlignment="1">
      <alignment horizontal="left" vertical="center"/>
    </xf>
    <xf numFmtId="0" fontId="43" fillId="2" borderId="4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10" fillId="0" borderId="35" xfId="17" applyBorder="1" applyAlignment="1">
      <alignment horizontal="left"/>
    </xf>
    <xf numFmtId="0" fontId="10" fillId="0" borderId="25" xfId="17" applyBorder="1" applyAlignment="1">
      <alignment horizontal="left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7" applyFont="1" applyAlignment="1">
      <alignment horizontal="center"/>
    </xf>
    <xf numFmtId="0" fontId="14" fillId="0" borderId="31" xfId="17" applyFont="1" applyBorder="1" applyAlignment="1">
      <alignment horizontal="center" vertical="center"/>
    </xf>
    <xf numFmtId="0" fontId="14" fillId="0" borderId="32" xfId="17" applyFont="1" applyBorder="1" applyAlignment="1">
      <alignment horizontal="center" vertical="center"/>
    </xf>
    <xf numFmtId="14" fontId="0" fillId="0" borderId="22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13" fillId="8" borderId="22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165" fontId="11" fillId="7" borderId="0" xfId="15" applyNumberFormat="1" applyFont="1" applyFill="1" applyBorder="1" applyAlignment="1">
      <alignment horizontal="center" vertical="center" wrapText="1"/>
    </xf>
    <xf numFmtId="165" fontId="11" fillId="7" borderId="23" xfId="15" applyNumberFormat="1" applyFont="1" applyFill="1" applyBorder="1" applyAlignment="1">
      <alignment horizontal="center" vertical="center" wrapText="1"/>
    </xf>
    <xf numFmtId="165" fontId="14" fillId="0" borderId="26" xfId="15" applyNumberFormat="1" applyFont="1" applyBorder="1" applyAlignment="1">
      <alignment horizontal="center"/>
    </xf>
    <xf numFmtId="165" fontId="14" fillId="0" borderId="25" xfId="15" applyNumberFormat="1" applyFont="1" applyBorder="1" applyAlignment="1">
      <alignment horizontal="center"/>
    </xf>
    <xf numFmtId="165" fontId="11" fillId="7" borderId="22" xfId="15" applyNumberFormat="1" applyFont="1" applyFill="1" applyBorder="1" applyAlignment="1">
      <alignment horizontal="right"/>
    </xf>
    <xf numFmtId="165" fontId="12" fillId="0" borderId="22" xfId="15" applyNumberFormat="1" applyFont="1" applyFill="1" applyBorder="1" applyAlignment="1">
      <alignment horizontal="center"/>
    </xf>
    <xf numFmtId="165" fontId="12" fillId="12" borderId="22" xfId="15" applyNumberFormat="1" applyFont="1" applyFill="1" applyBorder="1" applyAlignment="1">
      <alignment horizontal="center"/>
    </xf>
    <xf numFmtId="165" fontId="11" fillId="7" borderId="26" xfId="15" applyNumberFormat="1" applyFont="1" applyFill="1" applyBorder="1" applyAlignment="1">
      <alignment horizontal="center"/>
    </xf>
    <xf numFmtId="165" fontId="11" fillId="7" borderId="25" xfId="15" applyNumberFormat="1" applyFont="1" applyFill="1" applyBorder="1" applyAlignment="1">
      <alignment horizontal="center"/>
    </xf>
    <xf numFmtId="0" fontId="22" fillId="16" borderId="22" xfId="0" applyFont="1" applyFill="1" applyBorder="1" applyAlignment="1">
      <alignment horizontal="center" vertical="center" wrapText="1"/>
    </xf>
    <xf numFmtId="0" fontId="22" fillId="16" borderId="24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2" fillId="18" borderId="22" xfId="0" applyFont="1" applyFill="1" applyBorder="1" applyAlignment="1">
      <alignment horizontal="center" vertical="center" wrapText="1"/>
    </xf>
    <xf numFmtId="0" fontId="26" fillId="16" borderId="22" xfId="0" applyFont="1" applyFill="1" applyBorder="1" applyAlignment="1">
      <alignment horizontal="center" vertical="center" wrapText="1"/>
    </xf>
    <xf numFmtId="0" fontId="22" fillId="18" borderId="26" xfId="0" applyFont="1" applyFill="1" applyBorder="1" applyAlignment="1">
      <alignment horizontal="center" vertical="center" wrapText="1"/>
    </xf>
    <xf numFmtId="0" fontId="22" fillId="18" borderId="25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1" fillId="2" borderId="50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0" fillId="0" borderId="26" xfId="0" applyFont="1" applyBorder="1" applyAlignment="1">
      <alignment horizontal="right"/>
    </xf>
    <xf numFmtId="0" fontId="20" fillId="0" borderId="29" xfId="0" applyFont="1" applyBorder="1" applyAlignment="1">
      <alignment horizontal="right"/>
    </xf>
    <xf numFmtId="0" fontId="24" fillId="9" borderId="22" xfId="0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1" fillId="7" borderId="29" xfId="0" applyFont="1" applyFill="1" applyBorder="1" applyAlignment="1">
      <alignment horizontal="center"/>
    </xf>
    <xf numFmtId="0" fontId="21" fillId="7" borderId="25" xfId="0" applyFont="1" applyFill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1" fillId="13" borderId="22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1" fillId="7" borderId="22" xfId="0" applyFont="1" applyFill="1" applyBorder="1" applyAlignment="1">
      <alignment horizontal="center" vertical="center" wrapText="1"/>
    </xf>
  </cellXfs>
  <cellStyles count="78">
    <cellStyle name="20% - Énfasis1" xfId="36" builtinId="30" customBuiltin="1"/>
    <cellStyle name="20% - Énfasis2" xfId="40" builtinId="34" customBuiltin="1"/>
    <cellStyle name="20% - Énfasis3" xfId="44" builtinId="38" customBuiltin="1"/>
    <cellStyle name="20% - Énfasis4" xfId="48" builtinId="42" customBuiltin="1"/>
    <cellStyle name="20% - Énfasis5" xfId="52" builtinId="46" customBuiltin="1"/>
    <cellStyle name="20% - Énfasis6" xfId="56" builtinId="50" customBuiltin="1"/>
    <cellStyle name="40% - Énfasis1" xfId="37" builtinId="31" customBuiltin="1"/>
    <cellStyle name="40% - Énfasis2" xfId="41" builtinId="35" customBuiltin="1"/>
    <cellStyle name="40% - Énfasis3" xfId="45" builtinId="39" customBuiltin="1"/>
    <cellStyle name="40% - Énfasis4" xfId="49" builtinId="43" customBuiltin="1"/>
    <cellStyle name="40% - Énfasis5" xfId="53" builtinId="47" customBuiltin="1"/>
    <cellStyle name="40% - Énfasis6" xfId="57" builtinId="51" customBuiltin="1"/>
    <cellStyle name="60% - Énfasis1" xfId="38" builtinId="32" customBuiltin="1"/>
    <cellStyle name="60% - Énfasis2" xfId="42" builtinId="36" customBuiltin="1"/>
    <cellStyle name="60% - Énfasis3" xfId="46" builtinId="40" customBuiltin="1"/>
    <cellStyle name="60% - Énfasis4" xfId="50" builtinId="44" customBuiltin="1"/>
    <cellStyle name="60% - Énfasis5" xfId="54" builtinId="48" customBuiltin="1"/>
    <cellStyle name="60% - Énfasis6" xfId="58" builtinId="52" customBuiltin="1"/>
    <cellStyle name="BodyStyle" xfId="63" xr:uid="{00000000-0005-0000-0000-000012000000}"/>
    <cellStyle name="Bueno" xfId="23" builtinId="26" customBuiltin="1"/>
    <cellStyle name="Cálculo" xfId="28" builtinId="22" customBuiltin="1"/>
    <cellStyle name="Celda de comprobación" xfId="30" builtinId="23" customBuiltin="1"/>
    <cellStyle name="Celda vinculada" xfId="29" builtinId="24" customBuiltin="1"/>
    <cellStyle name="Encabezado 4" xfId="22" builtinId="19" customBuiltin="1"/>
    <cellStyle name="Énfasis1" xfId="35" builtinId="29" customBuiltin="1"/>
    <cellStyle name="Énfasis2" xfId="39" builtinId="33" customBuiltin="1"/>
    <cellStyle name="Énfasis3" xfId="43" builtinId="37" customBuiltin="1"/>
    <cellStyle name="Énfasis4" xfId="47" builtinId="41" customBuiltin="1"/>
    <cellStyle name="Énfasis5" xfId="51" builtinId="45" customBuiltin="1"/>
    <cellStyle name="Énfasis6" xfId="55" builtinId="49" customBuiltin="1"/>
    <cellStyle name="Entrada" xfId="26" builtinId="20" customBuiltin="1"/>
    <cellStyle name="Euro" xfId="61" xr:uid="{00000000-0005-0000-0000-00001F000000}"/>
    <cellStyle name="Incorrecto" xfId="24" builtinId="27" customBuiltin="1"/>
    <cellStyle name="Millares" xfId="14" builtinId="3"/>
    <cellStyle name="Millares 2" xfId="13" xr:uid="{00000000-0005-0000-0000-000022000000}"/>
    <cellStyle name="Millares 2 2" xfId="75" xr:uid="{00000000-0005-0000-0000-000023000000}"/>
    <cellStyle name="Millares 3" xfId="76" xr:uid="{00000000-0005-0000-0000-000024000000}"/>
    <cellStyle name="Moneda" xfId="1" builtinId="4"/>
    <cellStyle name="Moneda [0]" xfId="77" builtinId="7"/>
    <cellStyle name="Moneda 2" xfId="3" xr:uid="{00000000-0005-0000-0000-000027000000}"/>
    <cellStyle name="Moneda 2 2" xfId="5" xr:uid="{00000000-0005-0000-0000-000028000000}"/>
    <cellStyle name="Moneda 2 2 2" xfId="8" xr:uid="{00000000-0005-0000-0000-000029000000}"/>
    <cellStyle name="Moneda 2 2 2 2" xfId="70" xr:uid="{00000000-0005-0000-0000-00002A000000}"/>
    <cellStyle name="Moneda 2 2 3" xfId="12" xr:uid="{00000000-0005-0000-0000-00002B000000}"/>
    <cellStyle name="Moneda 2 2 3 2" xfId="74" xr:uid="{00000000-0005-0000-0000-00002C000000}"/>
    <cellStyle name="Moneda 2 2 4" xfId="67" xr:uid="{00000000-0005-0000-0000-00002D000000}"/>
    <cellStyle name="Moneda 2 3" xfId="6" xr:uid="{00000000-0005-0000-0000-00002E000000}"/>
    <cellStyle name="Moneda 2 3 2" xfId="68" xr:uid="{00000000-0005-0000-0000-00002F000000}"/>
    <cellStyle name="Moneda 2 4" xfId="10" xr:uid="{00000000-0005-0000-0000-000030000000}"/>
    <cellStyle name="Moneda 2 4 2" xfId="72" xr:uid="{00000000-0005-0000-0000-000031000000}"/>
    <cellStyle name="Moneda 2 5" xfId="65" xr:uid="{00000000-0005-0000-0000-000032000000}"/>
    <cellStyle name="Moneda 3" xfId="4" xr:uid="{00000000-0005-0000-0000-000033000000}"/>
    <cellStyle name="Moneda 3 2" xfId="7" xr:uid="{00000000-0005-0000-0000-000034000000}"/>
    <cellStyle name="Moneda 3 2 2" xfId="69" xr:uid="{00000000-0005-0000-0000-000035000000}"/>
    <cellStyle name="Moneda 3 3" xfId="11" xr:uid="{00000000-0005-0000-0000-000036000000}"/>
    <cellStyle name="Moneda 3 3 2" xfId="73" xr:uid="{00000000-0005-0000-0000-000037000000}"/>
    <cellStyle name="Moneda 3 4" xfId="66" xr:uid="{00000000-0005-0000-0000-000038000000}"/>
    <cellStyle name="Moneda 4" xfId="9" xr:uid="{00000000-0005-0000-0000-000039000000}"/>
    <cellStyle name="Moneda 4 2" xfId="71" xr:uid="{00000000-0005-0000-0000-00003A000000}"/>
    <cellStyle name="Moneda 5" xfId="64" xr:uid="{00000000-0005-0000-0000-00003B000000}"/>
    <cellStyle name="Moneda_LIC. DEFENSORIA DEL PUEBLO08 2" xfId="15" xr:uid="{00000000-0005-0000-0000-00003C000000}"/>
    <cellStyle name="Neutral" xfId="25" builtinId="28" customBuiltin="1"/>
    <cellStyle name="Normal" xfId="0" builtinId="0"/>
    <cellStyle name="Normal 2" xfId="18" xr:uid="{00000000-0005-0000-0000-00003F000000}"/>
    <cellStyle name="Normal 3" xfId="19" xr:uid="{00000000-0005-0000-0000-000040000000}"/>
    <cellStyle name="Normal 4" xfId="59" xr:uid="{00000000-0005-0000-0000-000041000000}"/>
    <cellStyle name="Normal 5" xfId="17" xr:uid="{00000000-0005-0000-0000-000042000000}"/>
    <cellStyle name="Notas" xfId="32" builtinId="10" customBuiltin="1"/>
    <cellStyle name="Porcentaje" xfId="2" builtinId="5"/>
    <cellStyle name="Porcentaje 2" xfId="62" xr:uid="{00000000-0005-0000-0000-000045000000}"/>
    <cellStyle name="Porcentual 5 2" xfId="16" xr:uid="{00000000-0005-0000-0000-000046000000}"/>
    <cellStyle name="Salida" xfId="27" builtinId="21" customBuiltin="1"/>
    <cellStyle name="Texto de advertencia" xfId="31" builtinId="11" customBuiltin="1"/>
    <cellStyle name="Texto explicativo" xfId="33" builtinId="53" customBuiltin="1"/>
    <cellStyle name="Título 2" xfId="20" builtinId="17" customBuiltin="1"/>
    <cellStyle name="Título 3" xfId="21" builtinId="18" customBuiltin="1"/>
    <cellStyle name="Título 4" xfId="60" xr:uid="{00000000-0005-0000-0000-00004C000000}"/>
    <cellStyle name="Total" xfId="34" builtinId="25" customBuiltin="1"/>
  </cellStyles>
  <dxfs count="37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</dxf>
    <dxf>
      <font>
        <b/>
        <i val="0"/>
        <color auto="1"/>
      </font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3" formatCode="0%"/>
      <fill>
        <patternFill patternType="solid">
          <fgColor indexed="64"/>
          <bgColor rgb="FFFF505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2" formatCode="_-&quot;$&quot;\ * #,##0_-;\-&quot;$&quot;\ * #,##0_-;_-&quot;$&quot;\ * &quot;-&quot;_-;_-@_-"/>
      <fill>
        <patternFill patternType="solid">
          <fgColor indexed="64"/>
          <bgColor rgb="FFFF7C80"/>
        </patternFill>
      </fill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14" formatCode="0.00%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2" formatCode="_-&quot;$&quot;\ * #,##0_-;\-&quot;$&quot;\ * #,##0_-;_-&quot;$&quot;\ * &quot;-&quot;_-;_-@_-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thin">
          <color auto="1"/>
        </top>
        <bottom style="thin">
          <color auto="1"/>
        </bottom>
        <vertical style="medium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scheme val="none"/>
      </font>
      <numFmt numFmtId="32" formatCode="_-&quot;$&quot;\ * #,##0_-;\-&quot;$&quot;\ * #,##0_-;_-&quot;$&quot;\ * &quot;-&quot;_-;_-@_-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7" formatCode="#,##0.00;\-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7" formatCode="#,##0.00;\-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7" formatCode="#,##0.00;\-#,##0.0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Geomanist Ligh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Geomanist Light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000000"/>
        <name val="Century Gothic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Medium9"/>
  <colors>
    <mruColors>
      <color rgb="FFF9FECC"/>
      <color rgb="FFFF5050"/>
      <color rgb="FFFF7C80"/>
      <color rgb="FF727505"/>
      <color rgb="FF97AE0E"/>
      <color rgb="FFE5F456"/>
      <color rgb="FF8F0F74"/>
      <color rgb="FFCC00CC"/>
      <color rgb="FFFF66FF"/>
      <color rgb="FFCC60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11</xdr:col>
      <xdr:colOff>142875</xdr:colOff>
      <xdr:row>15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8A3D097-18E8-4F46-A32C-A1D3FAF9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97" r="33154"/>
        <a:stretch>
          <a:fillRect/>
        </a:stretch>
      </xdr:blipFill>
      <xdr:spPr bwMode="auto">
        <a:xfrm>
          <a:off x="7315200" y="0"/>
          <a:ext cx="319087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LOMBIA%20COMPRA%20EFICIENTE\COTIZACIONES%20CCE\COTIZACIONES%20PARA%20EVAL\ACUERDO%20MARCO%20TERCERA%20GENERACION\COTIZACIONES%20DE%20HOY\Plantilla%202022%20AMP%20CCE%20III%20-%20v6%20_ipc_smmlv_trm_sutb_0706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LOMBIA%20COMPRA%20EFICIENTE\COTIZACIONES%20CCE\COTIZACIONES%20PARA%20EVAL\ACUERDO%20MARCO%20CUARTA%20GENERACION\Eventos%20de%20hoy\177055%20R8%20SERVICIO%20NACIONAL%20DE%20APRENDIZAJE%20RFQ%20AGTO%202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 AMP II - AMP III"/>
      <sheetName val="Regiones cobertuta AMP III"/>
      <sheetName val="Catalogo AMP III Menor precio"/>
      <sheetName val="Costo operarios"/>
      <sheetName val="Precios ofertados"/>
      <sheetName val="% Dcto Vs Costo"/>
      <sheetName val="% Dcto Precios piso y piso-20%"/>
      <sheetName val="Costo polizas-otros"/>
      <sheetName val="Costo adq 2019"/>
      <sheetName val="Evento 99999"/>
      <sheetName val="Catalogo R11 v6 ipc smmlv trm"/>
      <sheetName val="Inversion Maq"/>
      <sheetName val="Evalu sist aleatorio"/>
      <sheetName val="Doc sist ale"/>
      <sheetName val="Hoja1"/>
    </sheetNames>
    <sheetDataSet>
      <sheetData sheetId="0"/>
      <sheetData sheetId="1"/>
      <sheetData sheetId="2"/>
      <sheetData sheetId="3">
        <row r="48">
          <cell r="I48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>
        <row r="8">
          <cell r="Q8">
            <v>338745503.35999995</v>
          </cell>
        </row>
        <row r="9">
          <cell r="Q9">
            <v>29889309.119999997</v>
          </cell>
        </row>
        <row r="10">
          <cell r="Q10">
            <v>29889309.119999997</v>
          </cell>
        </row>
        <row r="11">
          <cell r="Q11">
            <v>1946813.4000000001</v>
          </cell>
        </row>
        <row r="12">
          <cell r="Q12">
            <v>1640361.6</v>
          </cell>
        </row>
        <row r="13">
          <cell r="Q13">
            <v>1422931.2</v>
          </cell>
        </row>
        <row r="14">
          <cell r="Q14">
            <v>1816089.5999999999</v>
          </cell>
        </row>
        <row r="15">
          <cell r="Q15">
            <v>1271181.1199999999</v>
          </cell>
        </row>
        <row r="16">
          <cell r="Q16">
            <v>1372113.1199999999</v>
          </cell>
        </row>
        <row r="17">
          <cell r="Q17">
            <v>130086.24</v>
          </cell>
        </row>
        <row r="18">
          <cell r="Q18">
            <v>1105545.6000000001</v>
          </cell>
        </row>
        <row r="19">
          <cell r="Q19">
            <v>1995587.16</v>
          </cell>
        </row>
        <row r="20">
          <cell r="Q20">
            <v>190184.8</v>
          </cell>
        </row>
        <row r="21">
          <cell r="Q21">
            <v>183968.4</v>
          </cell>
        </row>
        <row r="22">
          <cell r="Q22">
            <v>730070.4</v>
          </cell>
        </row>
        <row r="23">
          <cell r="Q23">
            <v>1319208.8</v>
          </cell>
        </row>
        <row r="24">
          <cell r="Q24">
            <v>366858.23999999999</v>
          </cell>
        </row>
        <row r="25">
          <cell r="Q25">
            <v>450631.67999999999</v>
          </cell>
        </row>
        <row r="26">
          <cell r="Q26">
            <v>759261.6</v>
          </cell>
        </row>
        <row r="27">
          <cell r="Q27">
            <v>300124.08</v>
          </cell>
        </row>
        <row r="28">
          <cell r="Q28">
            <v>364103.67999999999</v>
          </cell>
        </row>
        <row r="29">
          <cell r="Q29">
            <v>912662.00000000012</v>
          </cell>
        </row>
        <row r="30">
          <cell r="Q30">
            <v>242668.79999999999</v>
          </cell>
        </row>
        <row r="31">
          <cell r="Q31">
            <v>299692.79999999999</v>
          </cell>
        </row>
        <row r="32">
          <cell r="Q32">
            <v>299671.2</v>
          </cell>
        </row>
        <row r="33">
          <cell r="Q33">
            <v>299688</v>
          </cell>
        </row>
        <row r="34">
          <cell r="Q34">
            <v>279984</v>
          </cell>
        </row>
        <row r="35">
          <cell r="Q35">
            <v>125865.60000000001</v>
          </cell>
        </row>
        <row r="36">
          <cell r="Q36">
            <v>52766.400000000001</v>
          </cell>
        </row>
        <row r="37">
          <cell r="Q37">
            <v>346145.6</v>
          </cell>
        </row>
        <row r="38">
          <cell r="Q38">
            <v>422947.2</v>
          </cell>
        </row>
        <row r="39">
          <cell r="Q39">
            <v>71915.200000000012</v>
          </cell>
        </row>
        <row r="40">
          <cell r="Q40">
            <v>50569.89</v>
          </cell>
        </row>
        <row r="41">
          <cell r="Q41">
            <v>306887.28000000003</v>
          </cell>
        </row>
        <row r="42">
          <cell r="Q42">
            <v>359552</v>
          </cell>
        </row>
        <row r="43">
          <cell r="Q43">
            <v>692928</v>
          </cell>
        </row>
        <row r="44">
          <cell r="Q44">
            <v>327640.80000000005</v>
          </cell>
        </row>
        <row r="45">
          <cell r="Q45">
            <v>50045.760000000002</v>
          </cell>
        </row>
        <row r="46">
          <cell r="Q46">
            <v>57855.6</v>
          </cell>
        </row>
        <row r="47">
          <cell r="Q47">
            <v>67288.800000000003</v>
          </cell>
        </row>
        <row r="48">
          <cell r="Q48">
            <v>70149.600000000006</v>
          </cell>
        </row>
        <row r="49">
          <cell r="Q49">
            <v>49482</v>
          </cell>
        </row>
        <row r="50">
          <cell r="Q50">
            <v>176997</v>
          </cell>
        </row>
        <row r="51">
          <cell r="Q51">
            <v>187716.03999999998</v>
          </cell>
        </row>
        <row r="52">
          <cell r="Q52">
            <v>187704.56</v>
          </cell>
        </row>
        <row r="53">
          <cell r="Q53">
            <v>178540.44</v>
          </cell>
        </row>
        <row r="54">
          <cell r="Q54">
            <v>307136</v>
          </cell>
        </row>
        <row r="55">
          <cell r="Q55">
            <v>292254</v>
          </cell>
        </row>
        <row r="56">
          <cell r="Q56">
            <v>311722</v>
          </cell>
        </row>
        <row r="57">
          <cell r="Q57">
            <v>241380.72</v>
          </cell>
        </row>
        <row r="58">
          <cell r="Q58">
            <v>199513.60000000001</v>
          </cell>
        </row>
        <row r="59">
          <cell r="Q59">
            <v>296280.32000000001</v>
          </cell>
        </row>
        <row r="60">
          <cell r="Q60">
            <v>341529.59999999998</v>
          </cell>
        </row>
        <row r="61">
          <cell r="Q61">
            <v>135623.52000000002</v>
          </cell>
        </row>
        <row r="62">
          <cell r="Q62">
            <v>556899.83999999997</v>
          </cell>
        </row>
        <row r="63">
          <cell r="Q63">
            <v>484997.51999999996</v>
          </cell>
        </row>
        <row r="64">
          <cell r="Q64">
            <v>467888.4</v>
          </cell>
        </row>
        <row r="65">
          <cell r="Q65">
            <v>392505.12</v>
          </cell>
        </row>
        <row r="66">
          <cell r="Q66">
            <v>337030.2</v>
          </cell>
        </row>
        <row r="67">
          <cell r="Q67">
            <v>451059.84</v>
          </cell>
        </row>
        <row r="68">
          <cell r="Q68">
            <v>1227635.1199999999</v>
          </cell>
        </row>
        <row r="69">
          <cell r="Q69">
            <v>4362499.2</v>
          </cell>
        </row>
        <row r="70">
          <cell r="Q70">
            <v>181547.04</v>
          </cell>
        </row>
        <row r="71">
          <cell r="Q71">
            <v>388486.08</v>
          </cell>
        </row>
        <row r="72">
          <cell r="Q72">
            <v>127899.15999999999</v>
          </cell>
        </row>
        <row r="73">
          <cell r="Q73">
            <v>61748.4</v>
          </cell>
        </row>
        <row r="74">
          <cell r="Q74">
            <v>103867.92</v>
          </cell>
        </row>
        <row r="75">
          <cell r="Q75">
            <v>19837.439999999999</v>
          </cell>
        </row>
        <row r="76">
          <cell r="Q76">
            <v>316959.71999999997</v>
          </cell>
        </row>
        <row r="77">
          <cell r="Q77">
            <v>65014.509999999995</v>
          </cell>
        </row>
        <row r="78">
          <cell r="Q78">
            <v>5595735.5999999996</v>
          </cell>
        </row>
        <row r="79">
          <cell r="Q79">
            <v>128930.20000000001</v>
          </cell>
        </row>
        <row r="80">
          <cell r="Q80">
            <v>371209.07999999996</v>
          </cell>
        </row>
        <row r="81">
          <cell r="Q81">
            <v>415339.76</v>
          </cell>
        </row>
        <row r="82">
          <cell r="Q82">
            <v>179476.44</v>
          </cell>
        </row>
        <row r="83">
          <cell r="Q83">
            <v>2045277</v>
          </cell>
        </row>
        <row r="84">
          <cell r="Q84">
            <v>808541.60000000009</v>
          </cell>
        </row>
        <row r="85">
          <cell r="Q85">
            <v>324649.92</v>
          </cell>
        </row>
        <row r="86">
          <cell r="Q86">
            <v>36890.720000000001</v>
          </cell>
        </row>
        <row r="87">
          <cell r="Q87">
            <v>27269.52</v>
          </cell>
        </row>
        <row r="88">
          <cell r="Q88">
            <v>15778.949999999999</v>
          </cell>
        </row>
        <row r="89">
          <cell r="Q89">
            <v>221973.44</v>
          </cell>
        </row>
        <row r="90">
          <cell r="Q90">
            <v>122938.56</v>
          </cell>
        </row>
        <row r="91">
          <cell r="Q91">
            <v>99534.32</v>
          </cell>
        </row>
        <row r="92">
          <cell r="Q92">
            <v>119785.44</v>
          </cell>
        </row>
        <row r="93">
          <cell r="Q93">
            <v>18615.080000000002</v>
          </cell>
        </row>
        <row r="94">
          <cell r="Q94">
            <v>903360.12000000011</v>
          </cell>
        </row>
        <row r="95">
          <cell r="Q95">
            <v>38459.5</v>
          </cell>
        </row>
        <row r="96">
          <cell r="Q96">
            <v>547454.04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K411" totalsRowShown="0" tableBorderDxfId="36">
  <autoFilter ref="A4:K411" xr:uid="{00000000-0009-0000-0100-000001000000}"/>
  <sortState xmlns:xlrd2="http://schemas.microsoft.com/office/spreadsheetml/2017/richdata2" ref="A5:K411">
    <sortCondition descending="1" ref="G4:G411"/>
  </sortState>
  <tableColumns count="11">
    <tableColumn id="1" xr3:uid="{00000000-0010-0000-0000-000001000000}" name="No" dataDxfId="35"/>
    <tableColumn id="2" xr3:uid="{00000000-0010-0000-0000-000002000000}" name="Bien o Servicio" dataDxfId="34"/>
    <tableColumn id="3" xr3:uid="{00000000-0010-0000-0000-000003000000}" name="Condicion" dataDxfId="33"/>
    <tableColumn id="4" xr3:uid="{00000000-0010-0000-0000-000004000000}" name="Cantidad" dataDxfId="32" dataCellStyle="Millares">
      <calculatedColumnFormula>VLOOKUP(A5,'Evento Cotiz'!$W$49:$Y$455,3,FALSE)</calculatedColumnFormula>
    </tableColumn>
    <tableColumn id="10" xr3:uid="{00000000-0010-0000-0000-00000A000000}" name="P Oferta" dataDxfId="31" dataCellStyle="Millares">
      <calculatedColumnFormula>VLOOKUP(A5,'Evento Cotiz'!$A$49:$T$459,12,FALSE)</calculatedColumnFormula>
    </tableColumn>
    <tableColumn id="6" xr3:uid="{00000000-0010-0000-0000-000006000000}" name="P Piso" dataDxfId="30" dataCellStyle="Millares">
      <calculatedColumnFormula>VLOOKUP(A5,'Evento Cotiz'!$A$49:$T$459,13,FALSE)</calculatedColumnFormula>
    </tableColumn>
    <tableColumn id="5" xr3:uid="{00000000-0010-0000-0000-000005000000}" name="TOTAL" dataDxfId="29" dataCellStyle="Moneda [0]">
      <calculatedColumnFormula>Tabla1[[#This Row],[Cantidad]]*Tabla1[[#This Row],[P Piso]]</calculatedColumnFormula>
    </tableColumn>
    <tableColumn id="8" xr3:uid="{00000000-0010-0000-0000-000008000000}" name="P Piso-20%" dataDxfId="28" dataCellStyle="Moneda [0]">
      <calculatedColumnFormula>Tabla1[[#This Row],[P Piso]]-(Tabla1[[#This Row],[P Piso]]*20%)</calculatedColumnFormula>
    </tableColumn>
    <tableColumn id="9" xr3:uid="{00000000-0010-0000-0000-000009000000}" name="% Dcto" dataDxfId="27" dataCellStyle="Porcentaje">
      <calculatedColumnFormula>IF((1-(Tabla1[[#This Row],[P Piso-20%]]/Tabla1[[#This Row],[P Oferta]]))=1,0,1-(Tabla1[[#This Row],[P Piso-20%]]/Tabla1[[#This Row],[P Oferta]]))</calculatedColumnFormula>
    </tableColumn>
    <tableColumn id="7" xr3:uid="{00000000-0010-0000-0000-000007000000}" name="P Piso-25%" dataDxfId="26">
      <calculatedColumnFormula>Tabla1[[#This Row],[P Piso]]-(Tabla1[[#This Row],[P Piso]]*25%)</calculatedColumnFormula>
    </tableColumn>
    <tableColumn id="11" xr3:uid="{00000000-0010-0000-0000-00000B000000}" name="% Dcto2" dataDxfId="25" dataCellStyle="Porcentaje">
      <calculatedColumnFormula>IF((1-(Tabla1[[#This Row],[P Piso-25%]]/Tabla1[[#This Row],[P Oferta]]))=1,0,1-(Tabla1[[#This Row],[P Piso-25%]]/Tabla1[[#This Row],[P Oferta]]))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workbookViewId="0">
      <selection sqref="A1:E1"/>
    </sheetView>
  </sheetViews>
  <sheetFormatPr baseColWidth="10" defaultRowHeight="15"/>
  <cols>
    <col min="1" max="1" width="8.28515625" bestFit="1" customWidth="1"/>
    <col min="2" max="2" width="9.5703125" bestFit="1" customWidth="1"/>
    <col min="3" max="3" width="11.85546875" bestFit="1" customWidth="1"/>
    <col min="4" max="4" width="16.85546875" customWidth="1"/>
    <col min="5" max="5" width="22.5703125" customWidth="1"/>
    <col min="6" max="6" width="22.28515625" customWidth="1"/>
    <col min="7" max="7" width="25.85546875" customWidth="1"/>
  </cols>
  <sheetData>
    <row r="1" spans="1:7" ht="16.5" thickBot="1">
      <c r="A1" s="527" t="s">
        <v>368</v>
      </c>
      <c r="B1" s="528"/>
      <c r="C1" s="528"/>
      <c r="D1" s="528"/>
      <c r="E1" s="528"/>
      <c r="F1" s="1" t="s">
        <v>369</v>
      </c>
      <c r="G1" s="2">
        <v>1</v>
      </c>
    </row>
    <row r="2" spans="1:7" ht="24.75" thickBot="1">
      <c r="A2" s="1" t="s">
        <v>369</v>
      </c>
      <c r="B2" s="1" t="s">
        <v>370</v>
      </c>
      <c r="C2" s="1" t="s">
        <v>371</v>
      </c>
      <c r="D2" s="1" t="s">
        <v>372</v>
      </c>
      <c r="E2" s="1" t="s">
        <v>373</v>
      </c>
      <c r="F2" s="1" t="s">
        <v>374</v>
      </c>
      <c r="G2" s="1" t="s">
        <v>375</v>
      </c>
    </row>
    <row r="3" spans="1:7" ht="27">
      <c r="A3" s="529">
        <v>1</v>
      </c>
      <c r="B3" s="536" t="s">
        <v>376</v>
      </c>
      <c r="C3" s="534">
        <v>44984</v>
      </c>
      <c r="D3" s="536" t="s">
        <v>377</v>
      </c>
      <c r="E3" s="3" t="s">
        <v>378</v>
      </c>
      <c r="F3" s="3" t="s">
        <v>379</v>
      </c>
      <c r="G3" s="3" t="s">
        <v>380</v>
      </c>
    </row>
    <row r="4" spans="1:7" ht="27">
      <c r="A4" s="530"/>
      <c r="B4" s="537"/>
      <c r="C4" s="535"/>
      <c r="D4" s="537"/>
      <c r="E4" s="4" t="s">
        <v>381</v>
      </c>
      <c r="F4" s="4" t="s">
        <v>382</v>
      </c>
      <c r="G4" s="4" t="s">
        <v>383</v>
      </c>
    </row>
    <row r="5" spans="1:7" ht="26.1" customHeight="1">
      <c r="A5" s="531" t="s">
        <v>384</v>
      </c>
      <c r="B5" s="532"/>
      <c r="C5" s="532"/>
      <c r="D5" s="532"/>
      <c r="E5" s="532"/>
      <c r="F5" s="532"/>
      <c r="G5" s="533"/>
    </row>
  </sheetData>
  <mergeCells count="6">
    <mergeCell ref="A1:E1"/>
    <mergeCell ref="A3:A4"/>
    <mergeCell ref="A5:G5"/>
    <mergeCell ref="C3:C4"/>
    <mergeCell ref="B3:B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X815"/>
  <sheetViews>
    <sheetView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N4" sqref="N4"/>
    </sheetView>
  </sheetViews>
  <sheetFormatPr baseColWidth="10" defaultColWidth="11.42578125" defaultRowHeight="9"/>
  <cols>
    <col min="1" max="1" width="5.140625" style="354" customWidth="1"/>
    <col min="2" max="2" width="42" style="354" customWidth="1"/>
    <col min="3" max="3" width="9.7109375" style="354" customWidth="1"/>
    <col min="4" max="16384" width="11.42578125" style="354"/>
  </cols>
  <sheetData>
    <row r="1" spans="1:21">
      <c r="D1" s="501" t="s">
        <v>607</v>
      </c>
      <c r="E1" s="501" t="s">
        <v>608</v>
      </c>
      <c r="F1" s="501" t="s">
        <v>609</v>
      </c>
      <c r="G1" s="502" t="s">
        <v>610</v>
      </c>
      <c r="H1" s="502" t="s">
        <v>611</v>
      </c>
      <c r="I1" s="502" t="s">
        <v>612</v>
      </c>
      <c r="J1" s="502" t="s">
        <v>613</v>
      </c>
      <c r="K1" s="502" t="s">
        <v>614</v>
      </c>
      <c r="L1" s="502" t="s">
        <v>615</v>
      </c>
      <c r="M1" s="502" t="s">
        <v>616</v>
      </c>
      <c r="N1" s="502" t="s">
        <v>617</v>
      </c>
      <c r="O1" s="502" t="s">
        <v>618</v>
      </c>
      <c r="P1" s="502" t="s">
        <v>619</v>
      </c>
      <c r="Q1" s="502" t="s">
        <v>620</v>
      </c>
      <c r="R1" s="502" t="s">
        <v>621</v>
      </c>
      <c r="S1" s="502" t="s">
        <v>622</v>
      </c>
      <c r="T1" s="502" t="s">
        <v>623</v>
      </c>
      <c r="U1" s="502" t="s">
        <v>624</v>
      </c>
    </row>
    <row r="2" spans="1:21">
      <c r="A2" s="348" t="s">
        <v>0</v>
      </c>
      <c r="B2" s="547" t="s">
        <v>1</v>
      </c>
      <c r="C2" s="548"/>
    </row>
    <row r="3" spans="1:21">
      <c r="A3" s="349">
        <v>1</v>
      </c>
      <c r="B3" s="541" t="s">
        <v>2</v>
      </c>
      <c r="C3" s="542"/>
      <c r="D3" s="355">
        <v>0.1</v>
      </c>
      <c r="E3" s="355">
        <v>0.1</v>
      </c>
      <c r="F3" s="355">
        <v>0.1</v>
      </c>
      <c r="G3" s="355">
        <v>0.1</v>
      </c>
      <c r="H3" s="355">
        <v>0.1</v>
      </c>
      <c r="I3" s="355">
        <v>0.1</v>
      </c>
      <c r="J3" s="355">
        <v>0.1</v>
      </c>
      <c r="K3" s="355">
        <v>0.1</v>
      </c>
      <c r="L3" s="355">
        <v>0.1</v>
      </c>
      <c r="M3" s="355">
        <v>0.1</v>
      </c>
      <c r="N3" s="355">
        <v>0.1</v>
      </c>
      <c r="O3" s="355">
        <v>0.15</v>
      </c>
      <c r="P3" s="355">
        <v>0.15</v>
      </c>
      <c r="Q3" s="355">
        <v>0.15</v>
      </c>
      <c r="R3" s="355">
        <v>0.15</v>
      </c>
      <c r="S3" s="355">
        <v>0.15</v>
      </c>
      <c r="T3" s="355">
        <v>0.15</v>
      </c>
      <c r="U3" s="355">
        <v>0.15</v>
      </c>
    </row>
    <row r="4" spans="1:21">
      <c r="A4" s="349">
        <v>2</v>
      </c>
      <c r="B4" s="538" t="s">
        <v>3</v>
      </c>
      <c r="C4" s="539"/>
      <c r="D4" s="356">
        <v>716</v>
      </c>
      <c r="E4" s="356">
        <v>709</v>
      </c>
      <c r="F4" s="356">
        <v>716</v>
      </c>
      <c r="G4" s="356">
        <v>698</v>
      </c>
      <c r="H4" s="356">
        <v>705</v>
      </c>
      <c r="I4" s="356">
        <v>705</v>
      </c>
      <c r="J4" s="356">
        <v>715.78399999999999</v>
      </c>
      <c r="K4" s="356">
        <v>698.29920000000004</v>
      </c>
      <c r="L4" s="356">
        <v>705</v>
      </c>
      <c r="M4" s="356">
        <v>720</v>
      </c>
      <c r="N4" s="356">
        <v>603</v>
      </c>
      <c r="O4" s="356">
        <v>2525</v>
      </c>
      <c r="P4" s="356">
        <v>2525</v>
      </c>
      <c r="Q4" s="356">
        <v>2525</v>
      </c>
      <c r="R4" s="356">
        <v>2525.4607999999998</v>
      </c>
      <c r="S4" s="356">
        <v>2525</v>
      </c>
      <c r="T4" s="356">
        <v>2525</v>
      </c>
      <c r="U4" s="356">
        <v>2525</v>
      </c>
    </row>
    <row r="5" spans="1:21">
      <c r="A5" s="543" t="s">
        <v>17</v>
      </c>
      <c r="B5" s="544"/>
      <c r="C5" s="544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</row>
    <row r="6" spans="1:21">
      <c r="A6" s="350">
        <v>1</v>
      </c>
      <c r="B6" s="541" t="s">
        <v>4</v>
      </c>
      <c r="C6" s="542"/>
      <c r="D6" s="357">
        <v>2627978</v>
      </c>
      <c r="E6" s="357">
        <v>2627978</v>
      </c>
      <c r="F6" s="357">
        <v>2627978</v>
      </c>
      <c r="G6" s="357">
        <v>2627978</v>
      </c>
      <c r="H6" s="357">
        <v>2627978</v>
      </c>
      <c r="I6" s="357">
        <v>2627978</v>
      </c>
      <c r="J6" s="357">
        <v>2627977.6200999999</v>
      </c>
      <c r="K6" s="357">
        <v>2627977.6200999999</v>
      </c>
      <c r="L6" s="357">
        <v>2627978</v>
      </c>
      <c r="M6" s="357">
        <v>2627978</v>
      </c>
      <c r="N6" s="357">
        <v>2627978</v>
      </c>
      <c r="O6" s="357">
        <v>2627978</v>
      </c>
      <c r="P6" s="357">
        <v>2627978</v>
      </c>
      <c r="Q6" s="357">
        <v>2627978</v>
      </c>
      <c r="R6" s="357">
        <v>2627977.6200999999</v>
      </c>
      <c r="S6" s="357">
        <v>2627978</v>
      </c>
      <c r="T6" s="357">
        <v>2627978</v>
      </c>
      <c r="U6" s="357">
        <v>2627978</v>
      </c>
    </row>
    <row r="7" spans="1:21">
      <c r="A7" s="349">
        <v>2</v>
      </c>
      <c r="B7" s="538" t="s">
        <v>5</v>
      </c>
      <c r="C7" s="539"/>
      <c r="D7" s="357">
        <v>2465868</v>
      </c>
      <c r="E7" s="357">
        <v>2465868</v>
      </c>
      <c r="F7" s="357">
        <v>2465868</v>
      </c>
      <c r="G7" s="357">
        <v>2465868</v>
      </c>
      <c r="H7" s="357">
        <v>2465868</v>
      </c>
      <c r="I7" s="357">
        <v>2465868</v>
      </c>
      <c r="J7" s="357">
        <v>2465868.3651000001</v>
      </c>
      <c r="K7" s="357">
        <v>2465868.3651000001</v>
      </c>
      <c r="L7" s="357">
        <v>2465868</v>
      </c>
      <c r="M7" s="357">
        <v>2465868</v>
      </c>
      <c r="N7" s="357">
        <v>2465868</v>
      </c>
      <c r="O7" s="357">
        <v>2465868</v>
      </c>
      <c r="P7" s="357">
        <v>2465868</v>
      </c>
      <c r="Q7" s="357">
        <v>2465868</v>
      </c>
      <c r="R7" s="357">
        <v>2465868.3651000001</v>
      </c>
      <c r="S7" s="357">
        <v>2465868</v>
      </c>
      <c r="T7" s="357">
        <v>2465868</v>
      </c>
      <c r="U7" s="357">
        <v>2465868</v>
      </c>
    </row>
    <row r="8" spans="1:21">
      <c r="A8" s="349">
        <v>3</v>
      </c>
      <c r="B8" s="538" t="s">
        <v>6</v>
      </c>
      <c r="C8" s="539"/>
      <c r="D8" s="357">
        <v>2465868</v>
      </c>
      <c r="E8" s="357">
        <v>2465868</v>
      </c>
      <c r="F8" s="357">
        <v>2465868</v>
      </c>
      <c r="G8" s="357">
        <v>2465868</v>
      </c>
      <c r="H8" s="357">
        <v>2465868</v>
      </c>
      <c r="I8" s="357">
        <v>2465868</v>
      </c>
      <c r="J8" s="357">
        <v>2465868.3651000001</v>
      </c>
      <c r="K8" s="357">
        <v>2465868.3651000001</v>
      </c>
      <c r="L8" s="357">
        <v>2465868</v>
      </c>
      <c r="M8" s="357">
        <v>2465868</v>
      </c>
      <c r="N8" s="357">
        <v>2465868</v>
      </c>
      <c r="O8" s="357">
        <v>2465868</v>
      </c>
      <c r="P8" s="357">
        <v>2465868</v>
      </c>
      <c r="Q8" s="357">
        <v>2465868</v>
      </c>
      <c r="R8" s="357">
        <v>2465868.3651000001</v>
      </c>
      <c r="S8" s="357">
        <v>2465868</v>
      </c>
      <c r="T8" s="357">
        <v>2465868</v>
      </c>
      <c r="U8" s="357">
        <v>2465868</v>
      </c>
    </row>
    <row r="9" spans="1:21">
      <c r="A9" s="349">
        <v>4</v>
      </c>
      <c r="B9" s="538" t="s">
        <v>7</v>
      </c>
      <c r="C9" s="539"/>
      <c r="D9" s="357">
        <v>2465868</v>
      </c>
      <c r="E9" s="357">
        <v>2465868</v>
      </c>
      <c r="F9" s="357">
        <v>2465868</v>
      </c>
      <c r="G9" s="357">
        <v>2465868</v>
      </c>
      <c r="H9" s="357">
        <v>2465868</v>
      </c>
      <c r="I9" s="357">
        <v>2465868</v>
      </c>
      <c r="J9" s="357">
        <v>2465868.3651000001</v>
      </c>
      <c r="K9" s="357">
        <v>2465868.3651000001</v>
      </c>
      <c r="L9" s="357">
        <v>2465868</v>
      </c>
      <c r="M9" s="357">
        <v>2465868</v>
      </c>
      <c r="N9" s="357">
        <v>2465868</v>
      </c>
      <c r="O9" s="357">
        <v>2465868</v>
      </c>
      <c r="P9" s="357">
        <v>2465868</v>
      </c>
      <c r="Q9" s="357">
        <v>2465868</v>
      </c>
      <c r="R9" s="357">
        <v>2465868.3651000001</v>
      </c>
      <c r="S9" s="357">
        <v>2465868</v>
      </c>
      <c r="T9" s="357">
        <v>2465868</v>
      </c>
      <c r="U9" s="357">
        <v>2465868</v>
      </c>
    </row>
    <row r="10" spans="1:21">
      <c r="A10" s="349">
        <v>5</v>
      </c>
      <c r="B10" s="538" t="s">
        <v>8</v>
      </c>
      <c r="C10" s="539"/>
      <c r="D10" s="357">
        <v>2465868</v>
      </c>
      <c r="E10" s="357">
        <v>2465868</v>
      </c>
      <c r="F10" s="357">
        <v>2465868</v>
      </c>
      <c r="G10" s="357">
        <v>2465868</v>
      </c>
      <c r="H10" s="357">
        <v>2465868</v>
      </c>
      <c r="I10" s="357">
        <v>2465868</v>
      </c>
      <c r="J10" s="357">
        <v>2465868.3651000001</v>
      </c>
      <c r="K10" s="357">
        <v>2465868.3651000001</v>
      </c>
      <c r="L10" s="357">
        <v>2465868</v>
      </c>
      <c r="M10" s="357">
        <v>2465868</v>
      </c>
      <c r="N10" s="357">
        <v>2465868</v>
      </c>
      <c r="O10" s="357">
        <v>2465868</v>
      </c>
      <c r="P10" s="357">
        <v>2465868</v>
      </c>
      <c r="Q10" s="357">
        <v>2465868</v>
      </c>
      <c r="R10" s="357">
        <v>2465868.3651000001</v>
      </c>
      <c r="S10" s="357">
        <v>2465868</v>
      </c>
      <c r="T10" s="357">
        <v>2465868</v>
      </c>
      <c r="U10" s="357">
        <v>2465868</v>
      </c>
    </row>
    <row r="11" spans="1:21">
      <c r="A11" s="349">
        <v>6</v>
      </c>
      <c r="B11" s="538" t="s">
        <v>9</v>
      </c>
      <c r="C11" s="539"/>
      <c r="D11" s="357">
        <v>2465868</v>
      </c>
      <c r="E11" s="357">
        <v>2465868</v>
      </c>
      <c r="F11" s="357">
        <v>2465868</v>
      </c>
      <c r="G11" s="357">
        <v>2465868</v>
      </c>
      <c r="H11" s="357">
        <v>2465868</v>
      </c>
      <c r="I11" s="357">
        <v>2465868</v>
      </c>
      <c r="J11" s="357">
        <v>2465868.3651000001</v>
      </c>
      <c r="K11" s="357">
        <v>2465868.3651000001</v>
      </c>
      <c r="L11" s="357">
        <v>2465868</v>
      </c>
      <c r="M11" s="357">
        <v>2465868</v>
      </c>
      <c r="N11" s="357">
        <v>2465868</v>
      </c>
      <c r="O11" s="357">
        <v>2465868</v>
      </c>
      <c r="P11" s="357">
        <v>2465868</v>
      </c>
      <c r="Q11" s="357">
        <v>2465868</v>
      </c>
      <c r="R11" s="357">
        <v>2465868.3651000001</v>
      </c>
      <c r="S11" s="357">
        <v>2465868</v>
      </c>
      <c r="T11" s="357">
        <v>2465868</v>
      </c>
      <c r="U11" s="357">
        <v>2465868</v>
      </c>
    </row>
    <row r="12" spans="1:21">
      <c r="A12" s="349">
        <v>7</v>
      </c>
      <c r="B12" s="538" t="s">
        <v>10</v>
      </c>
      <c r="C12" s="539"/>
      <c r="D12" s="357">
        <v>2465868</v>
      </c>
      <c r="E12" s="357">
        <v>2465868</v>
      </c>
      <c r="F12" s="357">
        <v>2465868</v>
      </c>
      <c r="G12" s="357">
        <v>2465868</v>
      </c>
      <c r="H12" s="357">
        <v>2465868</v>
      </c>
      <c r="I12" s="357">
        <v>2465868</v>
      </c>
      <c r="J12" s="357">
        <v>2465868.3651000001</v>
      </c>
      <c r="K12" s="357">
        <v>2465868.3651000001</v>
      </c>
      <c r="L12" s="357">
        <v>2465868</v>
      </c>
      <c r="M12" s="357">
        <v>2465868</v>
      </c>
      <c r="N12" s="357">
        <v>2465868</v>
      </c>
      <c r="O12" s="357">
        <v>2465868</v>
      </c>
      <c r="P12" s="357">
        <v>2465868</v>
      </c>
      <c r="Q12" s="357">
        <v>2465868</v>
      </c>
      <c r="R12" s="357">
        <v>2465868.3651000001</v>
      </c>
      <c r="S12" s="357">
        <v>2465868</v>
      </c>
      <c r="T12" s="357">
        <v>2465868</v>
      </c>
      <c r="U12" s="357">
        <v>2465868</v>
      </c>
    </row>
    <row r="13" spans="1:21">
      <c r="A13" s="349">
        <v>8</v>
      </c>
      <c r="B13" s="538" t="s">
        <v>11</v>
      </c>
      <c r="C13" s="539"/>
      <c r="D13" s="357">
        <v>2465868</v>
      </c>
      <c r="E13" s="357">
        <v>2465868</v>
      </c>
      <c r="F13" s="357">
        <v>2465868</v>
      </c>
      <c r="G13" s="357">
        <v>2465868</v>
      </c>
      <c r="H13" s="357">
        <v>2465868</v>
      </c>
      <c r="I13" s="357">
        <v>2465868</v>
      </c>
      <c r="J13" s="357">
        <v>2465868.3651000001</v>
      </c>
      <c r="K13" s="357">
        <v>2465868.3651000001</v>
      </c>
      <c r="L13" s="357">
        <v>2465868</v>
      </c>
      <c r="M13" s="357">
        <v>2465868</v>
      </c>
      <c r="N13" s="357">
        <v>2465868</v>
      </c>
      <c r="O13" s="357">
        <v>2465868</v>
      </c>
      <c r="P13" s="357">
        <v>2465868</v>
      </c>
      <c r="Q13" s="357">
        <v>2465868</v>
      </c>
      <c r="R13" s="357">
        <v>2465868.3651000001</v>
      </c>
      <c r="S13" s="357">
        <v>2465868</v>
      </c>
      <c r="T13" s="357">
        <v>2465868</v>
      </c>
      <c r="U13" s="357">
        <v>2465868</v>
      </c>
    </row>
    <row r="14" spans="1:21">
      <c r="A14" s="349">
        <v>9</v>
      </c>
      <c r="B14" s="538" t="s">
        <v>12</v>
      </c>
      <c r="C14" s="539"/>
      <c r="D14" s="357">
        <v>2465868</v>
      </c>
      <c r="E14" s="357">
        <v>2465868</v>
      </c>
      <c r="F14" s="357">
        <v>2465868</v>
      </c>
      <c r="G14" s="357">
        <v>2465868</v>
      </c>
      <c r="H14" s="357">
        <v>2465868</v>
      </c>
      <c r="I14" s="357">
        <v>2465868</v>
      </c>
      <c r="J14" s="357">
        <v>2465868.3651000001</v>
      </c>
      <c r="K14" s="357">
        <v>2465868.3651000001</v>
      </c>
      <c r="L14" s="357">
        <v>2465868</v>
      </c>
      <c r="M14" s="357">
        <v>2465868</v>
      </c>
      <c r="N14" s="357">
        <v>2465868</v>
      </c>
      <c r="O14" s="357">
        <v>2465868</v>
      </c>
      <c r="P14" s="357">
        <v>2465868</v>
      </c>
      <c r="Q14" s="357">
        <v>2465868</v>
      </c>
      <c r="R14" s="357">
        <v>2465868.3651000001</v>
      </c>
      <c r="S14" s="357">
        <v>2465868</v>
      </c>
      <c r="T14" s="357">
        <v>2465868</v>
      </c>
      <c r="U14" s="357">
        <v>2465868</v>
      </c>
    </row>
    <row r="15" spans="1:21">
      <c r="A15" s="349">
        <v>10</v>
      </c>
      <c r="B15" s="538" t="s">
        <v>13</v>
      </c>
      <c r="C15" s="539"/>
      <c r="D15" s="357">
        <v>2465868</v>
      </c>
      <c r="E15" s="357">
        <v>2465868</v>
      </c>
      <c r="F15" s="357">
        <v>2465868</v>
      </c>
      <c r="G15" s="357">
        <v>2465868</v>
      </c>
      <c r="H15" s="357">
        <v>2465868</v>
      </c>
      <c r="I15" s="357">
        <v>2465868</v>
      </c>
      <c r="J15" s="357">
        <v>2465868.3651000001</v>
      </c>
      <c r="K15" s="357">
        <v>2465868.3651000001</v>
      </c>
      <c r="L15" s="357">
        <v>2465868</v>
      </c>
      <c r="M15" s="357">
        <v>2465868</v>
      </c>
      <c r="N15" s="357">
        <v>2465868</v>
      </c>
      <c r="O15" s="357">
        <v>2465868</v>
      </c>
      <c r="P15" s="357">
        <v>2465868</v>
      </c>
      <c r="Q15" s="357">
        <v>2465868</v>
      </c>
      <c r="R15" s="357">
        <v>2465868.3651000001</v>
      </c>
      <c r="S15" s="357">
        <v>2465868</v>
      </c>
      <c r="T15" s="357">
        <v>2465868</v>
      </c>
      <c r="U15" s="357">
        <v>2465868</v>
      </c>
    </row>
    <row r="16" spans="1:21">
      <c r="A16" s="349">
        <v>11</v>
      </c>
      <c r="B16" s="538" t="s">
        <v>14</v>
      </c>
      <c r="C16" s="539"/>
      <c r="D16" s="357">
        <v>82196</v>
      </c>
      <c r="E16" s="357">
        <v>82196</v>
      </c>
      <c r="F16" s="357">
        <v>82196</v>
      </c>
      <c r="G16" s="357">
        <v>82196</v>
      </c>
      <c r="H16" s="357">
        <v>82196</v>
      </c>
      <c r="I16" s="357">
        <v>82196</v>
      </c>
      <c r="J16" s="357">
        <v>82195.500100000005</v>
      </c>
      <c r="K16" s="357">
        <v>82195.500100000005</v>
      </c>
      <c r="L16" s="357">
        <v>82196</v>
      </c>
      <c r="M16" s="357">
        <v>82196</v>
      </c>
      <c r="N16" s="357">
        <v>82196</v>
      </c>
      <c r="O16" s="357">
        <v>82196</v>
      </c>
      <c r="P16" s="357">
        <v>82196</v>
      </c>
      <c r="Q16" s="357">
        <v>82196</v>
      </c>
      <c r="R16" s="357">
        <v>82195.500100000005</v>
      </c>
      <c r="S16" s="357">
        <v>82196</v>
      </c>
      <c r="T16" s="357">
        <v>82196</v>
      </c>
      <c r="U16" s="357">
        <v>82196</v>
      </c>
    </row>
    <row r="17" spans="1:24">
      <c r="A17" s="349">
        <v>12</v>
      </c>
      <c r="B17" s="545" t="s">
        <v>15</v>
      </c>
      <c r="C17" s="546"/>
      <c r="D17" s="357">
        <v>82196</v>
      </c>
      <c r="E17" s="357">
        <v>82196</v>
      </c>
      <c r="F17" s="357">
        <v>82196</v>
      </c>
      <c r="G17" s="357">
        <v>82196</v>
      </c>
      <c r="H17" s="357">
        <v>82196</v>
      </c>
      <c r="I17" s="357">
        <v>82196</v>
      </c>
      <c r="J17" s="357">
        <v>82195.500100000005</v>
      </c>
      <c r="K17" s="357">
        <v>82195.500100000005</v>
      </c>
      <c r="L17" s="357">
        <v>82196</v>
      </c>
      <c r="M17" s="357">
        <v>82196</v>
      </c>
      <c r="N17" s="357">
        <v>82196</v>
      </c>
      <c r="O17" s="357">
        <v>82196</v>
      </c>
      <c r="P17" s="357">
        <v>82196</v>
      </c>
      <c r="Q17" s="357">
        <v>82196</v>
      </c>
      <c r="R17" s="357">
        <v>82195.500100000005</v>
      </c>
      <c r="S17" s="357">
        <v>82196</v>
      </c>
      <c r="T17" s="357">
        <v>82196</v>
      </c>
      <c r="U17" s="357">
        <v>82196</v>
      </c>
    </row>
    <row r="18" spans="1:24">
      <c r="A18" s="349">
        <v>13</v>
      </c>
      <c r="B18" s="538" t="s">
        <v>16</v>
      </c>
      <c r="C18" s="539"/>
      <c r="D18" s="357">
        <v>82196</v>
      </c>
      <c r="E18" s="357">
        <v>82196</v>
      </c>
      <c r="F18" s="357">
        <v>82196</v>
      </c>
      <c r="G18" s="357">
        <v>82196</v>
      </c>
      <c r="H18" s="357">
        <v>82196</v>
      </c>
      <c r="I18" s="357">
        <v>82196</v>
      </c>
      <c r="J18" s="357">
        <v>82195.500100000005</v>
      </c>
      <c r="K18" s="357">
        <v>82195.500100000005</v>
      </c>
      <c r="L18" s="357">
        <v>82196</v>
      </c>
      <c r="M18" s="357">
        <v>82196</v>
      </c>
      <c r="N18" s="357">
        <v>82196</v>
      </c>
      <c r="O18" s="357">
        <v>82196</v>
      </c>
      <c r="P18" s="357">
        <v>82196</v>
      </c>
      <c r="Q18" s="357">
        <v>82196</v>
      </c>
      <c r="R18" s="357">
        <v>82195.500100000005</v>
      </c>
      <c r="S18" s="357">
        <v>82196</v>
      </c>
      <c r="T18" s="357">
        <v>82196</v>
      </c>
      <c r="U18" s="357">
        <v>82196</v>
      </c>
    </row>
    <row r="19" spans="1:24">
      <c r="A19" s="543" t="s">
        <v>18</v>
      </c>
      <c r="B19" s="544"/>
      <c r="C19" s="544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</row>
    <row r="20" spans="1:24">
      <c r="A20" s="351">
        <v>1</v>
      </c>
      <c r="B20" s="541" t="s">
        <v>5</v>
      </c>
      <c r="C20" s="542"/>
      <c r="D20" s="357">
        <v>2619737</v>
      </c>
      <c r="E20" s="357">
        <v>2619737</v>
      </c>
      <c r="F20" s="357">
        <v>2619737</v>
      </c>
      <c r="G20" s="357">
        <v>2619737</v>
      </c>
      <c r="H20" s="357">
        <v>2619737</v>
      </c>
      <c r="I20" s="357">
        <v>2619737</v>
      </c>
      <c r="J20" s="357">
        <v>2619737.1129999999</v>
      </c>
      <c r="K20" s="357">
        <v>2619737.1129999999</v>
      </c>
      <c r="L20" s="357">
        <v>2619737</v>
      </c>
      <c r="M20" s="357">
        <v>2619737</v>
      </c>
      <c r="N20" s="357">
        <v>2619737</v>
      </c>
      <c r="O20" s="357">
        <v>2619737</v>
      </c>
      <c r="P20" s="357">
        <v>2619737</v>
      </c>
      <c r="Q20" s="357">
        <v>2619737</v>
      </c>
      <c r="R20" s="357">
        <v>2619737.1129999999</v>
      </c>
      <c r="S20" s="357">
        <v>2619737</v>
      </c>
      <c r="T20" s="357">
        <v>2619737</v>
      </c>
      <c r="U20" s="357">
        <v>2619737</v>
      </c>
    </row>
    <row r="21" spans="1:24">
      <c r="A21" s="349">
        <v>2</v>
      </c>
      <c r="B21" s="538" t="s">
        <v>6</v>
      </c>
      <c r="C21" s="539"/>
      <c r="D21" s="357">
        <v>2534846</v>
      </c>
      <c r="E21" s="357">
        <v>2534846</v>
      </c>
      <c r="F21" s="357">
        <v>2534846</v>
      </c>
      <c r="G21" s="357">
        <v>2534846</v>
      </c>
      <c r="H21" s="357">
        <v>2534846</v>
      </c>
      <c r="I21" s="357">
        <v>2534846</v>
      </c>
      <c r="J21" s="357">
        <v>2534846.3294000002</v>
      </c>
      <c r="K21" s="357">
        <v>2534846.3294000002</v>
      </c>
      <c r="L21" s="357">
        <v>2534846</v>
      </c>
      <c r="M21" s="357">
        <v>2534846</v>
      </c>
      <c r="N21" s="357">
        <v>2534846</v>
      </c>
      <c r="O21" s="357">
        <v>2534846</v>
      </c>
      <c r="P21" s="357">
        <v>2534846</v>
      </c>
      <c r="Q21" s="357">
        <v>2534846</v>
      </c>
      <c r="R21" s="357">
        <v>2534846.3294000002</v>
      </c>
      <c r="S21" s="357">
        <v>2534846</v>
      </c>
      <c r="T21" s="357">
        <v>2534846</v>
      </c>
      <c r="U21" s="357">
        <v>2534846</v>
      </c>
    </row>
    <row r="22" spans="1:24">
      <c r="A22" s="349">
        <v>3</v>
      </c>
      <c r="B22" s="538" t="s">
        <v>7</v>
      </c>
      <c r="C22" s="539"/>
      <c r="D22" s="357">
        <v>2534846</v>
      </c>
      <c r="E22" s="357">
        <v>2534846</v>
      </c>
      <c r="F22" s="357">
        <v>2534846</v>
      </c>
      <c r="G22" s="357">
        <v>2534846</v>
      </c>
      <c r="H22" s="357">
        <v>2534846</v>
      </c>
      <c r="I22" s="357">
        <v>2534846</v>
      </c>
      <c r="J22" s="357">
        <v>2534846.3294000002</v>
      </c>
      <c r="K22" s="357">
        <v>2534846.3294000002</v>
      </c>
      <c r="L22" s="357">
        <v>2534846</v>
      </c>
      <c r="M22" s="357">
        <v>2534846</v>
      </c>
      <c r="N22" s="357">
        <v>2534846</v>
      </c>
      <c r="O22" s="357">
        <v>2534846</v>
      </c>
      <c r="P22" s="357">
        <v>2534846</v>
      </c>
      <c r="Q22" s="357">
        <v>2534846</v>
      </c>
      <c r="R22" s="357">
        <v>2534846.3294000002</v>
      </c>
      <c r="S22" s="357">
        <v>2534846</v>
      </c>
      <c r="T22" s="357">
        <v>2534846</v>
      </c>
      <c r="U22" s="357">
        <v>2534846</v>
      </c>
    </row>
    <row r="23" spans="1:24">
      <c r="A23" s="349">
        <v>4</v>
      </c>
      <c r="B23" s="538" t="s">
        <v>19</v>
      </c>
      <c r="C23" s="539"/>
      <c r="D23" s="357">
        <v>2619737</v>
      </c>
      <c r="E23" s="357">
        <v>2619737</v>
      </c>
      <c r="F23" s="357">
        <v>2619737</v>
      </c>
      <c r="G23" s="357">
        <v>2619737</v>
      </c>
      <c r="H23" s="357">
        <v>2619737</v>
      </c>
      <c r="I23" s="357">
        <v>2619737</v>
      </c>
      <c r="J23" s="357">
        <v>2619737.1129999999</v>
      </c>
      <c r="K23" s="357">
        <v>2619737.1129999999</v>
      </c>
      <c r="L23" s="357">
        <v>2619737</v>
      </c>
      <c r="M23" s="357">
        <v>2619737</v>
      </c>
      <c r="N23" s="357">
        <v>2619737</v>
      </c>
      <c r="O23" s="357">
        <v>2619737</v>
      </c>
      <c r="P23" s="357">
        <v>2619737</v>
      </c>
      <c r="Q23" s="357">
        <v>2619737</v>
      </c>
      <c r="R23" s="357">
        <v>2619737.1129999999</v>
      </c>
      <c r="S23" s="357">
        <v>2619737</v>
      </c>
      <c r="T23" s="357">
        <v>2619737</v>
      </c>
      <c r="U23" s="357">
        <v>2619737</v>
      </c>
    </row>
    <row r="24" spans="1:24">
      <c r="A24" s="349">
        <v>5</v>
      </c>
      <c r="B24" s="538" t="s">
        <v>9</v>
      </c>
      <c r="C24" s="539"/>
      <c r="D24" s="357">
        <v>2534846</v>
      </c>
      <c r="E24" s="357">
        <v>2534846</v>
      </c>
      <c r="F24" s="357">
        <v>2534846</v>
      </c>
      <c r="G24" s="357">
        <v>2534846</v>
      </c>
      <c r="H24" s="357">
        <v>2534846</v>
      </c>
      <c r="I24" s="357">
        <v>2534846</v>
      </c>
      <c r="J24" s="357">
        <v>2534846.3294000002</v>
      </c>
      <c r="K24" s="357">
        <v>2534846.3294000002</v>
      </c>
      <c r="L24" s="357">
        <v>2534846</v>
      </c>
      <c r="M24" s="357">
        <v>2534846</v>
      </c>
      <c r="N24" s="357">
        <v>2534846</v>
      </c>
      <c r="O24" s="357">
        <v>2534846</v>
      </c>
      <c r="P24" s="357">
        <v>2534846</v>
      </c>
      <c r="Q24" s="357">
        <v>2534846</v>
      </c>
      <c r="R24" s="357">
        <v>2534846.3294000002</v>
      </c>
      <c r="S24" s="357">
        <v>2534846</v>
      </c>
      <c r="T24" s="357">
        <v>2534846</v>
      </c>
      <c r="U24" s="357">
        <v>2534846</v>
      </c>
    </row>
    <row r="25" spans="1:24">
      <c r="A25" s="349">
        <v>6</v>
      </c>
      <c r="B25" s="538" t="s">
        <v>10</v>
      </c>
      <c r="C25" s="539"/>
      <c r="D25" s="357">
        <v>2534846</v>
      </c>
      <c r="E25" s="357">
        <v>2534846</v>
      </c>
      <c r="F25" s="357">
        <v>2534846</v>
      </c>
      <c r="G25" s="357">
        <v>2534846</v>
      </c>
      <c r="H25" s="357">
        <v>2534846</v>
      </c>
      <c r="I25" s="357">
        <v>2534846</v>
      </c>
      <c r="J25" s="357">
        <v>2534846.3294000002</v>
      </c>
      <c r="K25" s="357">
        <v>2534846.3294000002</v>
      </c>
      <c r="L25" s="357">
        <v>2534846</v>
      </c>
      <c r="M25" s="357">
        <v>2534846</v>
      </c>
      <c r="N25" s="357">
        <v>2534846</v>
      </c>
      <c r="O25" s="357">
        <v>2534846</v>
      </c>
      <c r="P25" s="357">
        <v>2534846</v>
      </c>
      <c r="Q25" s="357">
        <v>2534846</v>
      </c>
      <c r="R25" s="357">
        <v>2534846.3294000002</v>
      </c>
      <c r="S25" s="357">
        <v>2534846</v>
      </c>
      <c r="T25" s="357">
        <v>2534846</v>
      </c>
      <c r="U25" s="357">
        <v>2534846</v>
      </c>
    </row>
    <row r="26" spans="1:24">
      <c r="A26" s="349">
        <v>7</v>
      </c>
      <c r="B26" s="538" t="s">
        <v>11</v>
      </c>
      <c r="C26" s="539"/>
      <c r="D26" s="357">
        <v>2534846</v>
      </c>
      <c r="E26" s="357">
        <v>2534846</v>
      </c>
      <c r="F26" s="357">
        <v>2534846</v>
      </c>
      <c r="G26" s="357">
        <v>2534846</v>
      </c>
      <c r="H26" s="357">
        <v>2534846</v>
      </c>
      <c r="I26" s="357">
        <v>2534846</v>
      </c>
      <c r="J26" s="357">
        <v>2534846.3294000002</v>
      </c>
      <c r="K26" s="357">
        <v>2534846.3294000002</v>
      </c>
      <c r="L26" s="357">
        <v>2534846</v>
      </c>
      <c r="M26" s="357">
        <v>2534846</v>
      </c>
      <c r="N26" s="357">
        <v>2534846</v>
      </c>
      <c r="O26" s="357">
        <v>2534846</v>
      </c>
      <c r="P26" s="357">
        <v>2534846</v>
      </c>
      <c r="Q26" s="357">
        <v>2534846</v>
      </c>
      <c r="R26" s="357">
        <v>2534846.3294000002</v>
      </c>
      <c r="S26" s="357">
        <v>2534846</v>
      </c>
      <c r="T26" s="357">
        <v>2534846</v>
      </c>
      <c r="U26" s="357">
        <v>2534846</v>
      </c>
    </row>
    <row r="27" spans="1:24">
      <c r="A27" s="349">
        <v>8</v>
      </c>
      <c r="B27" s="538" t="s">
        <v>12</v>
      </c>
      <c r="C27" s="539"/>
      <c r="D27" s="357">
        <v>2534846</v>
      </c>
      <c r="E27" s="357">
        <v>2534846</v>
      </c>
      <c r="F27" s="357">
        <v>2534846</v>
      </c>
      <c r="G27" s="357">
        <v>2534846</v>
      </c>
      <c r="H27" s="357">
        <v>2534846</v>
      </c>
      <c r="I27" s="357">
        <v>2534846</v>
      </c>
      <c r="J27" s="357">
        <v>2534846.3294000002</v>
      </c>
      <c r="K27" s="357">
        <v>2534846.3294000002</v>
      </c>
      <c r="L27" s="357">
        <v>2534846</v>
      </c>
      <c r="M27" s="357">
        <v>2534846</v>
      </c>
      <c r="N27" s="357">
        <v>2534846</v>
      </c>
      <c r="O27" s="357">
        <v>2534846</v>
      </c>
      <c r="P27" s="357">
        <v>2534846</v>
      </c>
      <c r="Q27" s="357">
        <v>2534846</v>
      </c>
      <c r="R27" s="357">
        <v>2534846.3294000002</v>
      </c>
      <c r="S27" s="357">
        <v>2534846</v>
      </c>
      <c r="T27" s="357">
        <v>2534846</v>
      </c>
      <c r="U27" s="357">
        <v>2534846</v>
      </c>
    </row>
    <row r="28" spans="1:24">
      <c r="A28" s="349">
        <v>9</v>
      </c>
      <c r="B28" s="538" t="s">
        <v>13</v>
      </c>
      <c r="C28" s="539"/>
      <c r="D28" s="357">
        <v>2490473</v>
      </c>
      <c r="E28" s="357">
        <v>2490473</v>
      </c>
      <c r="F28" s="357">
        <v>2490473</v>
      </c>
      <c r="G28" s="357">
        <v>2490473</v>
      </c>
      <c r="H28" s="357">
        <v>2490450</v>
      </c>
      <c r="I28" s="357">
        <v>2490450</v>
      </c>
      <c r="J28" s="357">
        <v>2490473.3336</v>
      </c>
      <c r="K28" s="357">
        <v>2490473.3336</v>
      </c>
      <c r="L28" s="357">
        <v>2490473</v>
      </c>
      <c r="M28" s="357">
        <v>2490473</v>
      </c>
      <c r="N28" s="357">
        <v>2490450</v>
      </c>
      <c r="O28" s="357">
        <v>2490450</v>
      </c>
      <c r="P28" s="357">
        <v>2490450</v>
      </c>
      <c r="Q28" s="357">
        <v>2490450</v>
      </c>
      <c r="R28" s="357">
        <v>2490449.7988999998</v>
      </c>
      <c r="S28" s="357">
        <v>2490450</v>
      </c>
      <c r="T28" s="357">
        <v>2490450</v>
      </c>
      <c r="U28" s="357">
        <v>2490450</v>
      </c>
    </row>
    <row r="29" spans="1:24" ht="18">
      <c r="A29" s="540" t="s">
        <v>20</v>
      </c>
      <c r="B29" s="540"/>
      <c r="C29" s="352" t="s">
        <v>364</v>
      </c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</row>
    <row r="30" spans="1:24">
      <c r="A30" s="349">
        <v>1</v>
      </c>
      <c r="B30" s="353" t="s">
        <v>21</v>
      </c>
      <c r="C30" s="351" t="s">
        <v>365</v>
      </c>
      <c r="D30" s="357">
        <v>19667</v>
      </c>
      <c r="E30" s="357">
        <v>19704</v>
      </c>
      <c r="F30" s="357">
        <v>19506</v>
      </c>
      <c r="G30" s="357">
        <v>19309</v>
      </c>
      <c r="H30" s="357">
        <v>19606</v>
      </c>
      <c r="I30" s="357">
        <v>19482</v>
      </c>
      <c r="J30" s="357">
        <v>19531.614399999999</v>
      </c>
      <c r="K30" s="357">
        <v>19531.614399999999</v>
      </c>
      <c r="L30" s="357">
        <v>19532</v>
      </c>
      <c r="M30" s="357">
        <v>19532</v>
      </c>
      <c r="N30" s="357">
        <v>18543</v>
      </c>
      <c r="O30" s="357">
        <v>75147</v>
      </c>
      <c r="P30" s="357">
        <v>75147</v>
      </c>
      <c r="Q30" s="357">
        <v>75147</v>
      </c>
      <c r="R30" s="357">
        <v>75147.484800000006</v>
      </c>
      <c r="S30" s="357">
        <v>75147</v>
      </c>
      <c r="T30" s="357">
        <v>75147</v>
      </c>
      <c r="U30" s="357">
        <v>75147</v>
      </c>
      <c r="W30" s="500"/>
      <c r="X30" s="500"/>
    </row>
    <row r="31" spans="1:24">
      <c r="A31" s="349">
        <v>2</v>
      </c>
      <c r="B31" s="353" t="s">
        <v>22</v>
      </c>
      <c r="C31" s="349" t="s">
        <v>365</v>
      </c>
      <c r="D31" s="357">
        <v>5773</v>
      </c>
      <c r="E31" s="357">
        <v>5785</v>
      </c>
      <c r="F31" s="357">
        <v>5736</v>
      </c>
      <c r="G31" s="357">
        <v>5674</v>
      </c>
      <c r="H31" s="357">
        <v>5736</v>
      </c>
      <c r="I31" s="357">
        <v>5748</v>
      </c>
      <c r="J31" s="357">
        <v>5736.1072000000004</v>
      </c>
      <c r="K31" s="357">
        <v>5736.1072000000004</v>
      </c>
      <c r="L31" s="357">
        <v>5736</v>
      </c>
      <c r="M31" s="357">
        <v>5736</v>
      </c>
      <c r="N31" s="357">
        <v>5525</v>
      </c>
      <c r="O31" s="357">
        <v>21484</v>
      </c>
      <c r="P31" s="357">
        <v>21484</v>
      </c>
      <c r="Q31" s="357">
        <v>21484</v>
      </c>
      <c r="R31" s="357">
        <v>21484.448</v>
      </c>
      <c r="S31" s="357">
        <v>21484</v>
      </c>
      <c r="T31" s="357">
        <v>21484</v>
      </c>
      <c r="U31" s="357">
        <v>21484</v>
      </c>
      <c r="X31" s="500"/>
    </row>
    <row r="32" spans="1:24">
      <c r="A32" s="349">
        <v>3</v>
      </c>
      <c r="B32" s="353" t="s">
        <v>23</v>
      </c>
      <c r="C32" s="349" t="s">
        <v>365</v>
      </c>
      <c r="D32" s="357">
        <v>13251</v>
      </c>
      <c r="E32" s="357">
        <v>13288</v>
      </c>
      <c r="F32" s="357">
        <v>13104</v>
      </c>
      <c r="G32" s="357">
        <v>12980</v>
      </c>
      <c r="H32" s="357">
        <v>13153</v>
      </c>
      <c r="I32" s="357">
        <v>13141</v>
      </c>
      <c r="J32" s="357">
        <v>13178.075199999999</v>
      </c>
      <c r="K32" s="357">
        <v>13178.075199999999</v>
      </c>
      <c r="L32" s="357">
        <v>13178</v>
      </c>
      <c r="M32" s="357">
        <v>13178</v>
      </c>
      <c r="N32" s="357">
        <v>12460</v>
      </c>
      <c r="O32" s="357">
        <v>50622</v>
      </c>
      <c r="P32" s="357">
        <v>50622</v>
      </c>
      <c r="Q32" s="357">
        <v>50622</v>
      </c>
      <c r="R32" s="357">
        <v>50621.774400000002</v>
      </c>
      <c r="S32" s="357">
        <v>50622</v>
      </c>
      <c r="T32" s="357">
        <v>50622</v>
      </c>
      <c r="U32" s="357">
        <v>50622</v>
      </c>
      <c r="X32" s="500"/>
    </row>
    <row r="33" spans="1:24">
      <c r="A33" s="349">
        <v>4</v>
      </c>
      <c r="B33" s="353" t="s">
        <v>24</v>
      </c>
      <c r="C33" s="349" t="s">
        <v>365</v>
      </c>
      <c r="D33" s="357">
        <v>14253</v>
      </c>
      <c r="E33" s="357">
        <v>14265</v>
      </c>
      <c r="F33" s="357">
        <v>14179</v>
      </c>
      <c r="G33" s="357">
        <v>14068</v>
      </c>
      <c r="H33" s="357">
        <v>14154</v>
      </c>
      <c r="I33" s="357">
        <v>14228</v>
      </c>
      <c r="J33" s="357">
        <v>14167.0592</v>
      </c>
      <c r="K33" s="357">
        <v>14167.0592</v>
      </c>
      <c r="L33" s="357">
        <v>14167</v>
      </c>
      <c r="M33" s="357">
        <v>14167</v>
      </c>
      <c r="N33" s="357">
        <v>13486</v>
      </c>
      <c r="O33" s="357">
        <v>52167</v>
      </c>
      <c r="P33" s="357">
        <v>52167</v>
      </c>
      <c r="Q33" s="357">
        <v>52167</v>
      </c>
      <c r="R33" s="357">
        <v>52166.993600000002</v>
      </c>
      <c r="S33" s="357">
        <v>52167</v>
      </c>
      <c r="T33" s="357">
        <v>52167</v>
      </c>
      <c r="U33" s="357">
        <v>52167</v>
      </c>
      <c r="X33" s="500"/>
    </row>
    <row r="34" spans="1:24">
      <c r="A34" s="349">
        <v>5</v>
      </c>
      <c r="B34" s="353" t="s">
        <v>25</v>
      </c>
      <c r="C34" s="349" t="s">
        <v>365</v>
      </c>
      <c r="D34" s="357">
        <v>4105</v>
      </c>
      <c r="E34" s="357">
        <v>4117</v>
      </c>
      <c r="F34" s="357">
        <v>4067</v>
      </c>
      <c r="G34" s="357">
        <v>4042</v>
      </c>
      <c r="H34" s="357">
        <v>4079</v>
      </c>
      <c r="I34" s="357">
        <v>4079</v>
      </c>
      <c r="J34" s="357">
        <v>4079.4223999999999</v>
      </c>
      <c r="K34" s="357">
        <v>4079.4223999999999</v>
      </c>
      <c r="L34" s="357">
        <v>4079</v>
      </c>
      <c r="M34" s="357">
        <v>4079</v>
      </c>
      <c r="N34" s="357">
        <v>3919</v>
      </c>
      <c r="O34" s="357">
        <v>15946</v>
      </c>
      <c r="P34" s="357">
        <v>15946</v>
      </c>
      <c r="Q34" s="357">
        <v>15946</v>
      </c>
      <c r="R34" s="357">
        <v>15946.1376</v>
      </c>
      <c r="S34" s="357">
        <v>15946</v>
      </c>
      <c r="T34" s="357">
        <v>15946</v>
      </c>
      <c r="U34" s="357">
        <v>15946</v>
      </c>
      <c r="X34" s="500"/>
    </row>
    <row r="35" spans="1:24">
      <c r="A35" s="349">
        <v>6</v>
      </c>
      <c r="B35" s="353" t="s">
        <v>26</v>
      </c>
      <c r="C35" s="349" t="s">
        <v>365</v>
      </c>
      <c r="D35" s="357">
        <v>5043</v>
      </c>
      <c r="E35" s="357">
        <v>5043</v>
      </c>
      <c r="F35" s="357">
        <v>5006</v>
      </c>
      <c r="G35" s="357">
        <v>4957</v>
      </c>
      <c r="H35" s="357">
        <v>5006</v>
      </c>
      <c r="I35" s="357">
        <v>5019</v>
      </c>
      <c r="J35" s="357">
        <v>4994.0959999999995</v>
      </c>
      <c r="K35" s="357">
        <v>4994.0959999999995</v>
      </c>
      <c r="L35" s="357">
        <v>4994</v>
      </c>
      <c r="M35" s="357">
        <v>4994</v>
      </c>
      <c r="N35" s="357">
        <v>4747</v>
      </c>
      <c r="O35" s="357">
        <v>18468</v>
      </c>
      <c r="P35" s="357">
        <v>18468</v>
      </c>
      <c r="Q35" s="357">
        <v>18468</v>
      </c>
      <c r="R35" s="357">
        <v>18468.32</v>
      </c>
      <c r="S35" s="357">
        <v>18468</v>
      </c>
      <c r="T35" s="357">
        <v>18468</v>
      </c>
      <c r="U35" s="357">
        <v>18468</v>
      </c>
      <c r="X35" s="500"/>
    </row>
    <row r="36" spans="1:24">
      <c r="A36" s="349">
        <v>7</v>
      </c>
      <c r="B36" s="353" t="s">
        <v>27</v>
      </c>
      <c r="C36" s="349" t="s">
        <v>365</v>
      </c>
      <c r="D36" s="357">
        <v>5562</v>
      </c>
      <c r="E36" s="357">
        <v>5550</v>
      </c>
      <c r="F36" s="357">
        <v>5525</v>
      </c>
      <c r="G36" s="357">
        <v>5464</v>
      </c>
      <c r="H36" s="357">
        <v>5513</v>
      </c>
      <c r="I36" s="357">
        <v>5513</v>
      </c>
      <c r="J36" s="357">
        <v>5538.3104000000003</v>
      </c>
      <c r="K36" s="357">
        <v>5538.3104000000003</v>
      </c>
      <c r="L36" s="357">
        <v>5538</v>
      </c>
      <c r="M36" s="357">
        <v>5538</v>
      </c>
      <c r="N36" s="357">
        <v>5291</v>
      </c>
      <c r="O36" s="357">
        <v>20248</v>
      </c>
      <c r="P36" s="357">
        <v>20248</v>
      </c>
      <c r="Q36" s="357">
        <v>20248</v>
      </c>
      <c r="R36" s="357">
        <v>20248.4912</v>
      </c>
      <c r="S36" s="357">
        <v>20248</v>
      </c>
      <c r="T36" s="357">
        <v>20248</v>
      </c>
      <c r="U36" s="357">
        <v>20248</v>
      </c>
      <c r="X36" s="500"/>
    </row>
    <row r="37" spans="1:24">
      <c r="A37" s="349">
        <v>8</v>
      </c>
      <c r="B37" s="353" t="s">
        <v>28</v>
      </c>
      <c r="C37" s="349" t="s">
        <v>365</v>
      </c>
      <c r="D37" s="357">
        <v>5291</v>
      </c>
      <c r="E37" s="357">
        <v>5266</v>
      </c>
      <c r="F37" s="357">
        <v>5241</v>
      </c>
      <c r="G37" s="357">
        <v>5204</v>
      </c>
      <c r="H37" s="357">
        <v>5217</v>
      </c>
      <c r="I37" s="357">
        <v>5241</v>
      </c>
      <c r="J37" s="357">
        <v>5254.1823999999997</v>
      </c>
      <c r="K37" s="357">
        <v>5254.1823999999997</v>
      </c>
      <c r="L37" s="357">
        <v>5254</v>
      </c>
      <c r="M37" s="357">
        <v>5254</v>
      </c>
      <c r="N37" s="357">
        <v>5043</v>
      </c>
      <c r="O37" s="357">
        <v>19469</v>
      </c>
      <c r="P37" s="357">
        <v>19469</v>
      </c>
      <c r="Q37" s="357">
        <v>19469</v>
      </c>
      <c r="R37" s="357">
        <v>19469.324799999999</v>
      </c>
      <c r="S37" s="357">
        <v>19469</v>
      </c>
      <c r="T37" s="357">
        <v>19469</v>
      </c>
      <c r="U37" s="357">
        <v>19469</v>
      </c>
      <c r="X37" s="500"/>
    </row>
    <row r="38" spans="1:24">
      <c r="A38" s="349">
        <v>9</v>
      </c>
      <c r="B38" s="353" t="s">
        <v>29</v>
      </c>
      <c r="C38" s="349" t="s">
        <v>365</v>
      </c>
      <c r="D38" s="357">
        <v>122530</v>
      </c>
      <c r="E38" s="357">
        <v>122171</v>
      </c>
      <c r="F38" s="357">
        <v>120823</v>
      </c>
      <c r="G38" s="357">
        <v>119835</v>
      </c>
      <c r="H38" s="357">
        <v>121417</v>
      </c>
      <c r="I38" s="357">
        <v>121590</v>
      </c>
      <c r="J38" s="357">
        <v>121466.9056</v>
      </c>
      <c r="K38" s="357">
        <v>121466.9056</v>
      </c>
      <c r="L38" s="357">
        <v>121467</v>
      </c>
      <c r="M38" s="357">
        <v>121467</v>
      </c>
      <c r="N38" s="357">
        <v>116843</v>
      </c>
      <c r="O38" s="357">
        <v>466693</v>
      </c>
      <c r="P38" s="357">
        <v>466693</v>
      </c>
      <c r="Q38" s="357">
        <v>466693</v>
      </c>
      <c r="R38" s="357">
        <v>466693.35359999997</v>
      </c>
      <c r="S38" s="357">
        <v>466693</v>
      </c>
      <c r="T38" s="357">
        <v>466693</v>
      </c>
      <c r="U38" s="357">
        <v>466693</v>
      </c>
      <c r="X38" s="500"/>
    </row>
    <row r="39" spans="1:24">
      <c r="A39" s="349">
        <v>10</v>
      </c>
      <c r="B39" s="353" t="s">
        <v>30</v>
      </c>
      <c r="C39" s="349" t="s">
        <v>365</v>
      </c>
      <c r="D39" s="357">
        <v>6045</v>
      </c>
      <c r="E39" s="357">
        <v>6069</v>
      </c>
      <c r="F39" s="357">
        <v>6008</v>
      </c>
      <c r="G39" s="357">
        <v>5971</v>
      </c>
      <c r="H39" s="357">
        <v>6020</v>
      </c>
      <c r="I39" s="357">
        <v>5995</v>
      </c>
      <c r="J39" s="357">
        <v>6008.2143999999998</v>
      </c>
      <c r="K39" s="357">
        <v>6008.2143999999998</v>
      </c>
      <c r="L39" s="357">
        <v>6008</v>
      </c>
      <c r="M39" s="357">
        <v>6008</v>
      </c>
      <c r="N39" s="357">
        <v>5773</v>
      </c>
      <c r="O39" s="357">
        <v>22276</v>
      </c>
      <c r="P39" s="357">
        <v>22276</v>
      </c>
      <c r="Q39" s="357">
        <v>22276</v>
      </c>
      <c r="R39" s="357">
        <v>22275.635200000001</v>
      </c>
      <c r="S39" s="357">
        <v>22276</v>
      </c>
      <c r="T39" s="357">
        <v>22276</v>
      </c>
      <c r="U39" s="357">
        <v>22276</v>
      </c>
      <c r="X39" s="500"/>
    </row>
    <row r="40" spans="1:24">
      <c r="A40" s="349">
        <v>11</v>
      </c>
      <c r="B40" s="353" t="s">
        <v>31</v>
      </c>
      <c r="C40" s="349" t="s">
        <v>365</v>
      </c>
      <c r="D40" s="357">
        <v>14488</v>
      </c>
      <c r="E40" s="357">
        <v>14463</v>
      </c>
      <c r="F40" s="357">
        <v>14401</v>
      </c>
      <c r="G40" s="357">
        <v>14240</v>
      </c>
      <c r="H40" s="357">
        <v>14352</v>
      </c>
      <c r="I40" s="357">
        <v>14451</v>
      </c>
      <c r="J40" s="357">
        <v>14364.856</v>
      </c>
      <c r="K40" s="357">
        <v>14364.856</v>
      </c>
      <c r="L40" s="357">
        <v>14365</v>
      </c>
      <c r="M40" s="357">
        <v>14365</v>
      </c>
      <c r="N40" s="357">
        <v>13845</v>
      </c>
      <c r="O40" s="357">
        <v>57964</v>
      </c>
      <c r="P40" s="357">
        <v>57964</v>
      </c>
      <c r="Q40" s="357">
        <v>57964</v>
      </c>
      <c r="R40" s="357">
        <v>57964.297599999998</v>
      </c>
      <c r="S40" s="357">
        <v>57964</v>
      </c>
      <c r="T40" s="357">
        <v>57964</v>
      </c>
      <c r="U40" s="357">
        <v>57964</v>
      </c>
      <c r="X40" s="500"/>
    </row>
    <row r="41" spans="1:24">
      <c r="A41" s="349">
        <v>12</v>
      </c>
      <c r="B41" s="353" t="s">
        <v>32</v>
      </c>
      <c r="C41" s="349" t="s">
        <v>365</v>
      </c>
      <c r="D41" s="357">
        <v>16515</v>
      </c>
      <c r="E41" s="357">
        <v>16627</v>
      </c>
      <c r="F41" s="357">
        <v>16441</v>
      </c>
      <c r="G41" s="357">
        <v>16306</v>
      </c>
      <c r="H41" s="357">
        <v>16466</v>
      </c>
      <c r="I41" s="357">
        <v>16429</v>
      </c>
      <c r="J41" s="357">
        <v>16466.310399999998</v>
      </c>
      <c r="K41" s="357">
        <v>16466.310399999998</v>
      </c>
      <c r="L41" s="357">
        <v>16466</v>
      </c>
      <c r="M41" s="357">
        <v>16466</v>
      </c>
      <c r="N41" s="357">
        <v>15748</v>
      </c>
      <c r="O41" s="357">
        <v>65023</v>
      </c>
      <c r="P41" s="357">
        <v>65023</v>
      </c>
      <c r="Q41" s="357">
        <v>65023</v>
      </c>
      <c r="R41" s="357">
        <v>65022.692799999997</v>
      </c>
      <c r="S41" s="357">
        <v>65023</v>
      </c>
      <c r="T41" s="357">
        <v>65023</v>
      </c>
      <c r="U41" s="357">
        <v>65023</v>
      </c>
      <c r="X41" s="500"/>
    </row>
    <row r="42" spans="1:24">
      <c r="A42" s="349">
        <v>13</v>
      </c>
      <c r="B42" s="353" t="s">
        <v>33</v>
      </c>
      <c r="C42" s="349" t="s">
        <v>365</v>
      </c>
      <c r="D42" s="357">
        <v>44551</v>
      </c>
      <c r="E42" s="357">
        <v>44811</v>
      </c>
      <c r="F42" s="357">
        <v>44181</v>
      </c>
      <c r="G42" s="357">
        <v>44082</v>
      </c>
      <c r="H42" s="357">
        <v>44304</v>
      </c>
      <c r="I42" s="357">
        <v>44292</v>
      </c>
      <c r="J42" s="357">
        <v>44341.452799999999</v>
      </c>
      <c r="K42" s="357">
        <v>44341.452799999999</v>
      </c>
      <c r="L42" s="357">
        <v>44341</v>
      </c>
      <c r="M42" s="357">
        <v>44341</v>
      </c>
      <c r="N42" s="357">
        <v>42005</v>
      </c>
      <c r="O42" s="357">
        <v>178640</v>
      </c>
      <c r="P42" s="357">
        <v>178640</v>
      </c>
      <c r="Q42" s="357">
        <v>178640</v>
      </c>
      <c r="R42" s="357">
        <v>178640.016</v>
      </c>
      <c r="S42" s="357">
        <v>178640</v>
      </c>
      <c r="T42" s="357">
        <v>178640</v>
      </c>
      <c r="U42" s="357">
        <v>178640</v>
      </c>
      <c r="X42" s="500"/>
    </row>
    <row r="43" spans="1:24">
      <c r="A43" s="349">
        <v>14</v>
      </c>
      <c r="B43" s="353" t="s">
        <v>34</v>
      </c>
      <c r="C43" s="349" t="s">
        <v>365</v>
      </c>
      <c r="D43" s="357">
        <v>40052</v>
      </c>
      <c r="E43" s="357">
        <v>39941</v>
      </c>
      <c r="F43" s="357">
        <v>39594</v>
      </c>
      <c r="G43" s="357">
        <v>39249</v>
      </c>
      <c r="H43" s="357">
        <v>39582</v>
      </c>
      <c r="I43" s="357">
        <v>39533</v>
      </c>
      <c r="J43" s="357">
        <v>39421.667199999996</v>
      </c>
      <c r="K43" s="357">
        <v>39421.667199999996</v>
      </c>
      <c r="L43" s="357">
        <v>39422</v>
      </c>
      <c r="M43" s="357">
        <v>39422</v>
      </c>
      <c r="N43" s="357">
        <v>37765</v>
      </c>
      <c r="O43" s="357">
        <v>149874</v>
      </c>
      <c r="P43" s="357">
        <v>149874</v>
      </c>
      <c r="Q43" s="357">
        <v>149874</v>
      </c>
      <c r="R43" s="357">
        <v>149874.24160000001</v>
      </c>
      <c r="S43" s="357">
        <v>149874</v>
      </c>
      <c r="T43" s="357">
        <v>149874</v>
      </c>
      <c r="U43" s="357">
        <v>149874</v>
      </c>
      <c r="X43" s="500"/>
    </row>
    <row r="44" spans="1:24">
      <c r="A44" s="349">
        <v>15</v>
      </c>
      <c r="B44" s="353" t="s">
        <v>35</v>
      </c>
      <c r="C44" s="349" t="s">
        <v>365</v>
      </c>
      <c r="D44" s="357">
        <v>15094</v>
      </c>
      <c r="E44" s="357">
        <v>15156</v>
      </c>
      <c r="F44" s="357">
        <v>15019</v>
      </c>
      <c r="G44" s="357">
        <v>14896</v>
      </c>
      <c r="H44" s="357">
        <v>15019</v>
      </c>
      <c r="I44" s="357">
        <v>14994</v>
      </c>
      <c r="J44" s="357">
        <v>15044.577600000001</v>
      </c>
      <c r="K44" s="357">
        <v>15044.577600000001</v>
      </c>
      <c r="L44" s="357">
        <v>15045</v>
      </c>
      <c r="M44" s="357">
        <v>15045</v>
      </c>
      <c r="N44" s="357">
        <v>14228</v>
      </c>
      <c r="O44" s="357">
        <v>56531</v>
      </c>
      <c r="P44" s="357">
        <v>56531</v>
      </c>
      <c r="Q44" s="357">
        <v>56531</v>
      </c>
      <c r="R44" s="357">
        <v>56530.544000000002</v>
      </c>
      <c r="S44" s="357">
        <v>56531</v>
      </c>
      <c r="T44" s="357">
        <v>56531</v>
      </c>
      <c r="U44" s="357">
        <v>56531</v>
      </c>
      <c r="X44" s="500"/>
    </row>
    <row r="45" spans="1:24">
      <c r="A45" s="349">
        <v>16</v>
      </c>
      <c r="B45" s="353" t="s">
        <v>36</v>
      </c>
      <c r="C45" s="349" t="s">
        <v>365</v>
      </c>
      <c r="D45" s="357">
        <v>5513</v>
      </c>
      <c r="E45" s="357">
        <v>5501</v>
      </c>
      <c r="F45" s="357">
        <v>5464</v>
      </c>
      <c r="G45" s="357">
        <v>5427</v>
      </c>
      <c r="H45" s="357">
        <v>5489</v>
      </c>
      <c r="I45" s="357">
        <v>5476</v>
      </c>
      <c r="J45" s="357">
        <v>5489.1343999999999</v>
      </c>
      <c r="K45" s="357">
        <v>5489.1343999999999</v>
      </c>
      <c r="L45" s="357">
        <v>5489</v>
      </c>
      <c r="M45" s="357">
        <v>5489</v>
      </c>
      <c r="N45" s="357">
        <v>5229</v>
      </c>
      <c r="O45" s="357">
        <v>21003</v>
      </c>
      <c r="P45" s="357">
        <v>21003</v>
      </c>
      <c r="Q45" s="357">
        <v>21003</v>
      </c>
      <c r="R45" s="357">
        <v>21002.5232</v>
      </c>
      <c r="S45" s="357">
        <v>21003</v>
      </c>
      <c r="T45" s="357">
        <v>21003</v>
      </c>
      <c r="U45" s="357">
        <v>21003</v>
      </c>
      <c r="X45" s="500"/>
    </row>
    <row r="46" spans="1:24">
      <c r="A46" s="349">
        <v>17</v>
      </c>
      <c r="B46" s="353" t="s">
        <v>37</v>
      </c>
      <c r="C46" s="349" t="s">
        <v>365</v>
      </c>
      <c r="D46" s="357">
        <v>4364</v>
      </c>
      <c r="E46" s="357">
        <v>4352</v>
      </c>
      <c r="F46" s="357">
        <v>4326</v>
      </c>
      <c r="G46" s="357">
        <v>4289</v>
      </c>
      <c r="H46" s="357">
        <v>4302</v>
      </c>
      <c r="I46" s="357">
        <v>4302</v>
      </c>
      <c r="J46" s="357">
        <v>4326.3951999999999</v>
      </c>
      <c r="K46" s="357">
        <v>4326.3951999999999</v>
      </c>
      <c r="L46" s="357">
        <v>4326</v>
      </c>
      <c r="M46" s="357">
        <v>4326</v>
      </c>
      <c r="N46" s="357">
        <v>4117</v>
      </c>
      <c r="O46" s="357">
        <v>15860</v>
      </c>
      <c r="P46" s="357">
        <v>15860</v>
      </c>
      <c r="Q46" s="357">
        <v>15860</v>
      </c>
      <c r="R46" s="357">
        <v>15859.806399999999</v>
      </c>
      <c r="S46" s="357">
        <v>15860</v>
      </c>
      <c r="T46" s="357">
        <v>15860</v>
      </c>
      <c r="U46" s="357">
        <v>15860</v>
      </c>
      <c r="X46" s="500"/>
    </row>
    <row r="47" spans="1:24">
      <c r="A47" s="349">
        <v>18</v>
      </c>
      <c r="B47" s="353" t="s">
        <v>38</v>
      </c>
      <c r="C47" s="349" t="s">
        <v>365</v>
      </c>
      <c r="D47" s="357">
        <v>16676</v>
      </c>
      <c r="E47" s="357">
        <v>16602</v>
      </c>
      <c r="F47" s="357">
        <v>16503</v>
      </c>
      <c r="G47" s="357">
        <v>16342</v>
      </c>
      <c r="H47" s="357">
        <v>16466</v>
      </c>
      <c r="I47" s="357">
        <v>16515</v>
      </c>
      <c r="J47" s="357">
        <v>16466.310399999998</v>
      </c>
      <c r="K47" s="357">
        <v>16466.310399999998</v>
      </c>
      <c r="L47" s="357">
        <v>16466</v>
      </c>
      <c r="M47" s="357">
        <v>16466</v>
      </c>
      <c r="N47" s="357">
        <v>15836</v>
      </c>
      <c r="O47" s="357">
        <v>60845</v>
      </c>
      <c r="P47" s="357">
        <v>60845</v>
      </c>
      <c r="Q47" s="357">
        <v>60845</v>
      </c>
      <c r="R47" s="357">
        <v>60844.918400000002</v>
      </c>
      <c r="S47" s="357">
        <v>60845</v>
      </c>
      <c r="T47" s="357">
        <v>60845</v>
      </c>
      <c r="U47" s="357">
        <v>60845</v>
      </c>
      <c r="X47" s="500"/>
    </row>
    <row r="48" spans="1:24">
      <c r="A48" s="349">
        <v>19</v>
      </c>
      <c r="B48" s="353" t="s">
        <v>39</v>
      </c>
      <c r="C48" s="349" t="s">
        <v>365</v>
      </c>
      <c r="D48" s="357">
        <v>16441</v>
      </c>
      <c r="E48" s="357">
        <v>16404</v>
      </c>
      <c r="F48" s="357">
        <v>16218</v>
      </c>
      <c r="G48" s="357">
        <v>16194</v>
      </c>
      <c r="H48" s="357">
        <v>16231</v>
      </c>
      <c r="I48" s="357">
        <v>16318</v>
      </c>
      <c r="J48" s="357">
        <v>16268.5136</v>
      </c>
      <c r="K48" s="357">
        <v>16268.5136</v>
      </c>
      <c r="L48" s="357">
        <v>16269</v>
      </c>
      <c r="M48" s="357">
        <v>16269</v>
      </c>
      <c r="N48" s="357">
        <v>15625</v>
      </c>
      <c r="O48" s="357">
        <v>62229</v>
      </c>
      <c r="P48" s="357">
        <v>62229</v>
      </c>
      <c r="Q48" s="357">
        <v>62229</v>
      </c>
      <c r="R48" s="357">
        <v>62229.495999999999</v>
      </c>
      <c r="S48" s="357">
        <v>62229</v>
      </c>
      <c r="T48" s="357">
        <v>62229</v>
      </c>
      <c r="U48" s="357">
        <v>62229</v>
      </c>
      <c r="X48" s="500"/>
    </row>
    <row r="49" spans="1:24">
      <c r="A49" s="349">
        <v>20</v>
      </c>
      <c r="B49" s="353" t="s">
        <v>40</v>
      </c>
      <c r="C49" s="349" t="s">
        <v>365</v>
      </c>
      <c r="D49" s="357">
        <v>16911</v>
      </c>
      <c r="E49" s="357">
        <v>16935</v>
      </c>
      <c r="F49" s="357">
        <v>16774</v>
      </c>
      <c r="G49" s="357">
        <v>16627</v>
      </c>
      <c r="H49" s="357">
        <v>16837</v>
      </c>
      <c r="I49" s="357">
        <v>16750</v>
      </c>
      <c r="J49" s="357">
        <v>16750.438399999999</v>
      </c>
      <c r="K49" s="357">
        <v>16750.438399999999</v>
      </c>
      <c r="L49" s="357">
        <v>16750</v>
      </c>
      <c r="M49" s="357">
        <v>16750</v>
      </c>
      <c r="N49" s="357">
        <v>16046</v>
      </c>
      <c r="O49" s="357">
        <v>65467</v>
      </c>
      <c r="P49" s="357">
        <v>65467</v>
      </c>
      <c r="Q49" s="357">
        <v>65467</v>
      </c>
      <c r="R49" s="357">
        <v>65467.462399999997</v>
      </c>
      <c r="S49" s="357">
        <v>65467</v>
      </c>
      <c r="T49" s="357">
        <v>65467</v>
      </c>
      <c r="U49" s="357">
        <v>65467</v>
      </c>
      <c r="X49" s="500"/>
    </row>
    <row r="50" spans="1:24">
      <c r="A50" s="349">
        <v>21</v>
      </c>
      <c r="B50" s="353" t="s">
        <v>41</v>
      </c>
      <c r="C50" s="349" t="s">
        <v>365</v>
      </c>
      <c r="D50" s="357">
        <v>9902</v>
      </c>
      <c r="E50" s="357">
        <v>9902</v>
      </c>
      <c r="F50" s="357">
        <v>9816</v>
      </c>
      <c r="G50" s="357">
        <v>9741</v>
      </c>
      <c r="H50" s="357">
        <v>9816</v>
      </c>
      <c r="I50" s="357">
        <v>9877</v>
      </c>
      <c r="J50" s="357">
        <v>9876.7263999999996</v>
      </c>
      <c r="K50" s="357">
        <v>9876.7263999999996</v>
      </c>
      <c r="L50" s="357">
        <v>9877</v>
      </c>
      <c r="M50" s="357">
        <v>9877</v>
      </c>
      <c r="N50" s="357">
        <v>9346</v>
      </c>
      <c r="O50" s="357">
        <v>38408</v>
      </c>
      <c r="P50" s="357">
        <v>38408</v>
      </c>
      <c r="Q50" s="357">
        <v>38408</v>
      </c>
      <c r="R50" s="357">
        <v>38407.548799999997</v>
      </c>
      <c r="S50" s="357">
        <v>38408</v>
      </c>
      <c r="T50" s="357">
        <v>38408</v>
      </c>
      <c r="U50" s="357">
        <v>38408</v>
      </c>
      <c r="X50" s="500"/>
    </row>
    <row r="51" spans="1:24">
      <c r="A51" s="349">
        <v>22</v>
      </c>
      <c r="B51" s="353" t="s">
        <v>42</v>
      </c>
      <c r="C51" s="349" t="s">
        <v>365</v>
      </c>
      <c r="D51" s="357">
        <v>14624</v>
      </c>
      <c r="E51" s="357">
        <v>14624</v>
      </c>
      <c r="F51" s="357">
        <v>14475</v>
      </c>
      <c r="G51" s="357">
        <v>14340</v>
      </c>
      <c r="H51" s="357">
        <v>14426</v>
      </c>
      <c r="I51" s="357">
        <v>14488</v>
      </c>
      <c r="J51" s="357">
        <v>14463.208000000001</v>
      </c>
      <c r="K51" s="357">
        <v>14463.208000000001</v>
      </c>
      <c r="L51" s="357">
        <v>14463</v>
      </c>
      <c r="M51" s="357">
        <v>14463</v>
      </c>
      <c r="N51" s="357">
        <v>13821</v>
      </c>
      <c r="O51" s="357">
        <v>55047</v>
      </c>
      <c r="P51" s="357">
        <v>55047</v>
      </c>
      <c r="Q51" s="357">
        <v>55047</v>
      </c>
      <c r="R51" s="357">
        <v>55046.5216</v>
      </c>
      <c r="S51" s="357">
        <v>55047</v>
      </c>
      <c r="T51" s="357">
        <v>55047</v>
      </c>
      <c r="U51" s="357">
        <v>55047</v>
      </c>
      <c r="X51" s="500"/>
    </row>
    <row r="52" spans="1:24">
      <c r="A52" s="349">
        <v>23</v>
      </c>
      <c r="B52" s="353" t="s">
        <v>43</v>
      </c>
      <c r="C52" s="349" t="s">
        <v>365</v>
      </c>
      <c r="D52" s="357">
        <v>5797</v>
      </c>
      <c r="E52" s="357">
        <v>5785</v>
      </c>
      <c r="F52" s="357">
        <v>5773</v>
      </c>
      <c r="G52" s="357">
        <v>5699</v>
      </c>
      <c r="H52" s="357">
        <v>5736</v>
      </c>
      <c r="I52" s="357">
        <v>5736</v>
      </c>
      <c r="J52" s="357">
        <v>5736.1072000000004</v>
      </c>
      <c r="K52" s="357">
        <v>5736.1072000000004</v>
      </c>
      <c r="L52" s="357">
        <v>5736</v>
      </c>
      <c r="M52" s="357">
        <v>5736</v>
      </c>
      <c r="N52" s="357">
        <v>5501</v>
      </c>
      <c r="O52" s="357">
        <v>23190</v>
      </c>
      <c r="P52" s="357">
        <v>23190</v>
      </c>
      <c r="Q52" s="357">
        <v>23190</v>
      </c>
      <c r="R52" s="357">
        <v>23190.308799999999</v>
      </c>
      <c r="S52" s="357">
        <v>23190</v>
      </c>
      <c r="T52" s="357">
        <v>23190</v>
      </c>
      <c r="U52" s="357">
        <v>23190</v>
      </c>
      <c r="X52" s="500"/>
    </row>
    <row r="53" spans="1:24">
      <c r="A53" s="349">
        <v>24</v>
      </c>
      <c r="B53" s="353" t="s">
        <v>44</v>
      </c>
      <c r="C53" s="349" t="s">
        <v>365</v>
      </c>
      <c r="D53" s="357">
        <v>4352</v>
      </c>
      <c r="E53" s="357">
        <v>4352</v>
      </c>
      <c r="F53" s="357">
        <v>4326</v>
      </c>
      <c r="G53" s="357">
        <v>4289</v>
      </c>
      <c r="H53" s="357">
        <v>4314</v>
      </c>
      <c r="I53" s="357">
        <v>4314</v>
      </c>
      <c r="J53" s="357">
        <v>4314.3743999999997</v>
      </c>
      <c r="K53" s="357">
        <v>4314.3743999999997</v>
      </c>
      <c r="L53" s="357">
        <v>4314</v>
      </c>
      <c r="M53" s="357">
        <v>4314</v>
      </c>
      <c r="N53" s="357">
        <v>4129</v>
      </c>
      <c r="O53" s="357">
        <v>16528</v>
      </c>
      <c r="P53" s="357">
        <v>16528</v>
      </c>
      <c r="Q53" s="357">
        <v>16528</v>
      </c>
      <c r="R53" s="357">
        <v>16527.5072</v>
      </c>
      <c r="S53" s="357">
        <v>16528</v>
      </c>
      <c r="T53" s="357">
        <v>16528</v>
      </c>
      <c r="U53" s="357">
        <v>16528</v>
      </c>
      <c r="X53" s="500"/>
    </row>
    <row r="54" spans="1:24">
      <c r="A54" s="349">
        <v>25</v>
      </c>
      <c r="B54" s="353" t="s">
        <v>367</v>
      </c>
      <c r="C54" s="349" t="s">
        <v>365</v>
      </c>
      <c r="D54" s="357">
        <v>20928</v>
      </c>
      <c r="E54" s="357">
        <v>20941</v>
      </c>
      <c r="F54" s="357">
        <v>20693</v>
      </c>
      <c r="G54" s="357">
        <v>20521</v>
      </c>
      <c r="H54" s="357">
        <v>20644</v>
      </c>
      <c r="I54" s="357">
        <v>20768</v>
      </c>
      <c r="J54" s="357">
        <v>20669.2192</v>
      </c>
      <c r="K54" s="357">
        <v>20669.2192</v>
      </c>
      <c r="L54" s="357">
        <v>20669</v>
      </c>
      <c r="M54" s="357">
        <v>20669</v>
      </c>
      <c r="N54" s="357">
        <v>19692</v>
      </c>
      <c r="O54" s="357">
        <v>79362</v>
      </c>
      <c r="P54" s="357">
        <v>79362</v>
      </c>
      <c r="Q54" s="357">
        <v>79362</v>
      </c>
      <c r="R54" s="357">
        <v>79362.414399999994</v>
      </c>
      <c r="S54" s="357">
        <v>79362</v>
      </c>
      <c r="T54" s="357">
        <v>79362</v>
      </c>
      <c r="U54" s="357">
        <v>79362</v>
      </c>
      <c r="X54" s="500"/>
    </row>
    <row r="55" spans="1:24">
      <c r="A55" s="349">
        <v>26</v>
      </c>
      <c r="B55" s="353" t="s">
        <v>45</v>
      </c>
      <c r="C55" s="349" t="s">
        <v>365</v>
      </c>
      <c r="D55" s="357">
        <v>7268</v>
      </c>
      <c r="E55" s="357">
        <v>7305</v>
      </c>
      <c r="F55" s="357">
        <v>7232</v>
      </c>
      <c r="G55" s="357">
        <v>7170</v>
      </c>
      <c r="H55" s="357">
        <v>7232</v>
      </c>
      <c r="I55" s="357">
        <v>7244</v>
      </c>
      <c r="J55" s="357">
        <v>7219.0367999999999</v>
      </c>
      <c r="K55" s="357">
        <v>7219.0367999999999</v>
      </c>
      <c r="L55" s="357">
        <v>7219</v>
      </c>
      <c r="M55" s="357">
        <v>7219</v>
      </c>
      <c r="N55" s="357">
        <v>6935</v>
      </c>
      <c r="O55" s="357">
        <v>28272</v>
      </c>
      <c r="P55" s="357">
        <v>28272</v>
      </c>
      <c r="Q55" s="357">
        <v>28272</v>
      </c>
      <c r="R55" s="357">
        <v>28271.828799999999</v>
      </c>
      <c r="S55" s="357">
        <v>28272</v>
      </c>
      <c r="T55" s="357">
        <v>28272</v>
      </c>
      <c r="U55" s="357">
        <v>28272</v>
      </c>
      <c r="X55" s="500"/>
    </row>
    <row r="56" spans="1:24">
      <c r="A56" s="349">
        <v>27</v>
      </c>
      <c r="B56" s="353" t="s">
        <v>46</v>
      </c>
      <c r="C56" s="349" t="s">
        <v>365</v>
      </c>
      <c r="D56" s="357">
        <v>11706</v>
      </c>
      <c r="E56" s="357">
        <v>11706</v>
      </c>
      <c r="F56" s="357">
        <v>11620</v>
      </c>
      <c r="G56" s="357">
        <v>11496</v>
      </c>
      <c r="H56" s="357">
        <v>11596</v>
      </c>
      <c r="I56" s="357">
        <v>11620</v>
      </c>
      <c r="J56" s="357">
        <v>11595.700800000001</v>
      </c>
      <c r="K56" s="357">
        <v>11595.700800000001</v>
      </c>
      <c r="L56" s="357">
        <v>11596</v>
      </c>
      <c r="M56" s="357">
        <v>11596</v>
      </c>
      <c r="N56" s="357">
        <v>11026</v>
      </c>
      <c r="O56" s="357">
        <v>45244</v>
      </c>
      <c r="P56" s="357">
        <v>45244</v>
      </c>
      <c r="Q56" s="357">
        <v>45244</v>
      </c>
      <c r="R56" s="357">
        <v>45244.105600000003</v>
      </c>
      <c r="S56" s="357">
        <v>45244</v>
      </c>
      <c r="T56" s="357">
        <v>45244</v>
      </c>
      <c r="U56" s="357">
        <v>45244</v>
      </c>
      <c r="X56" s="500"/>
    </row>
    <row r="57" spans="1:24">
      <c r="A57" s="349">
        <v>28</v>
      </c>
      <c r="B57" s="353" t="s">
        <v>47</v>
      </c>
      <c r="C57" s="349" t="s">
        <v>365</v>
      </c>
      <c r="D57" s="357">
        <v>6316</v>
      </c>
      <c r="E57" s="357">
        <v>6316</v>
      </c>
      <c r="F57" s="357">
        <v>6292</v>
      </c>
      <c r="G57" s="357">
        <v>6230</v>
      </c>
      <c r="H57" s="357">
        <v>6304</v>
      </c>
      <c r="I57" s="357">
        <v>6267</v>
      </c>
      <c r="J57" s="357">
        <v>6304.3631999999998</v>
      </c>
      <c r="K57" s="357">
        <v>6304.3631999999998</v>
      </c>
      <c r="L57" s="357">
        <v>6304</v>
      </c>
      <c r="M57" s="357">
        <v>6304</v>
      </c>
      <c r="N57" s="357">
        <v>5983</v>
      </c>
      <c r="O57" s="357">
        <v>24303</v>
      </c>
      <c r="P57" s="357">
        <v>24303</v>
      </c>
      <c r="Q57" s="357">
        <v>24303</v>
      </c>
      <c r="R57" s="357">
        <v>24302.779200000001</v>
      </c>
      <c r="S57" s="357">
        <v>24303</v>
      </c>
      <c r="T57" s="357">
        <v>24303</v>
      </c>
      <c r="U57" s="357">
        <v>24303</v>
      </c>
      <c r="X57" s="500"/>
    </row>
    <row r="58" spans="1:24">
      <c r="A58" s="349">
        <v>29</v>
      </c>
      <c r="B58" s="353" t="s">
        <v>48</v>
      </c>
      <c r="C58" s="349" t="s">
        <v>365</v>
      </c>
      <c r="D58" s="357">
        <v>4463</v>
      </c>
      <c r="E58" s="357">
        <v>4463</v>
      </c>
      <c r="F58" s="357">
        <v>4426</v>
      </c>
      <c r="G58" s="357">
        <v>4389</v>
      </c>
      <c r="H58" s="357">
        <v>4426</v>
      </c>
      <c r="I58" s="357">
        <v>4413</v>
      </c>
      <c r="J58" s="357">
        <v>4437.8608000000004</v>
      </c>
      <c r="K58" s="357">
        <v>4437.8608000000004</v>
      </c>
      <c r="L58" s="357">
        <v>4438</v>
      </c>
      <c r="M58" s="357">
        <v>4438</v>
      </c>
      <c r="N58" s="357">
        <v>4203</v>
      </c>
      <c r="O58" s="357">
        <v>16429</v>
      </c>
      <c r="P58" s="357">
        <v>16429</v>
      </c>
      <c r="Q58" s="357">
        <v>16429</v>
      </c>
      <c r="R58" s="357">
        <v>16429.155200000001</v>
      </c>
      <c r="S58" s="357">
        <v>16429</v>
      </c>
      <c r="T58" s="357">
        <v>16429</v>
      </c>
      <c r="U58" s="357">
        <v>16429</v>
      </c>
      <c r="X58" s="500"/>
    </row>
    <row r="59" spans="1:24">
      <c r="A59" s="349">
        <v>30</v>
      </c>
      <c r="B59" s="353" t="s">
        <v>49</v>
      </c>
      <c r="C59" s="349" t="s">
        <v>365</v>
      </c>
      <c r="D59" s="357">
        <v>11459</v>
      </c>
      <c r="E59" s="357">
        <v>11472</v>
      </c>
      <c r="F59" s="357">
        <v>11348</v>
      </c>
      <c r="G59" s="357">
        <v>11274</v>
      </c>
      <c r="H59" s="357">
        <v>11385</v>
      </c>
      <c r="I59" s="357">
        <v>11361</v>
      </c>
      <c r="J59" s="357">
        <v>11409.924800000001</v>
      </c>
      <c r="K59" s="357">
        <v>11409.924800000001</v>
      </c>
      <c r="L59" s="357">
        <v>11410</v>
      </c>
      <c r="M59" s="357">
        <v>11410</v>
      </c>
      <c r="N59" s="357">
        <v>10915</v>
      </c>
      <c r="O59" s="357">
        <v>42896</v>
      </c>
      <c r="P59" s="357">
        <v>42896</v>
      </c>
      <c r="Q59" s="357">
        <v>42896</v>
      </c>
      <c r="R59" s="357">
        <v>42895.678399999997</v>
      </c>
      <c r="S59" s="357">
        <v>42896</v>
      </c>
      <c r="T59" s="357">
        <v>42896</v>
      </c>
      <c r="U59" s="357">
        <v>42896</v>
      </c>
      <c r="X59" s="500"/>
    </row>
    <row r="60" spans="1:24">
      <c r="A60" s="349">
        <v>31</v>
      </c>
      <c r="B60" s="353" t="s">
        <v>50</v>
      </c>
      <c r="C60" s="349" t="s">
        <v>365</v>
      </c>
      <c r="D60" s="357">
        <v>5094</v>
      </c>
      <c r="E60" s="357">
        <v>5080</v>
      </c>
      <c r="F60" s="357">
        <v>5043</v>
      </c>
      <c r="G60" s="357">
        <v>4982</v>
      </c>
      <c r="H60" s="357">
        <v>5031</v>
      </c>
      <c r="I60" s="357">
        <v>5019</v>
      </c>
      <c r="J60" s="357">
        <v>5043.2719999999999</v>
      </c>
      <c r="K60" s="357">
        <v>5043.2719999999999</v>
      </c>
      <c r="L60" s="357">
        <v>5043</v>
      </c>
      <c r="M60" s="357">
        <v>5043</v>
      </c>
      <c r="N60" s="357">
        <v>4771</v>
      </c>
      <c r="O60" s="357">
        <v>18641</v>
      </c>
      <c r="P60" s="357">
        <v>18641</v>
      </c>
      <c r="Q60" s="357">
        <v>18641</v>
      </c>
      <c r="R60" s="357">
        <v>18640.982400000001</v>
      </c>
      <c r="S60" s="357">
        <v>18641</v>
      </c>
      <c r="T60" s="357">
        <v>18641</v>
      </c>
      <c r="U60" s="357">
        <v>18641</v>
      </c>
      <c r="X60" s="500"/>
    </row>
    <row r="61" spans="1:24">
      <c r="A61" s="349">
        <v>32</v>
      </c>
      <c r="B61" s="353" t="s">
        <v>51</v>
      </c>
      <c r="C61" s="349" t="s">
        <v>365</v>
      </c>
      <c r="D61" s="357">
        <v>42722</v>
      </c>
      <c r="E61" s="357">
        <v>42735</v>
      </c>
      <c r="F61" s="357">
        <v>42277</v>
      </c>
      <c r="G61" s="357">
        <v>41993</v>
      </c>
      <c r="H61" s="357">
        <v>42277</v>
      </c>
      <c r="I61" s="357">
        <v>42302</v>
      </c>
      <c r="J61" s="357">
        <v>42265.132799999999</v>
      </c>
      <c r="K61" s="357">
        <v>42265.132799999999</v>
      </c>
      <c r="L61" s="357">
        <v>42265</v>
      </c>
      <c r="M61" s="357">
        <v>42265</v>
      </c>
      <c r="N61" s="357">
        <v>40164</v>
      </c>
      <c r="O61" s="357">
        <v>160443</v>
      </c>
      <c r="P61" s="357">
        <v>160443</v>
      </c>
      <c r="Q61" s="357">
        <v>160443</v>
      </c>
      <c r="R61" s="357">
        <v>160442.71040000001</v>
      </c>
      <c r="S61" s="357">
        <v>160443</v>
      </c>
      <c r="T61" s="357">
        <v>160443</v>
      </c>
      <c r="U61" s="357">
        <v>160443</v>
      </c>
      <c r="X61" s="500"/>
    </row>
    <row r="62" spans="1:24">
      <c r="A62" s="349">
        <v>33</v>
      </c>
      <c r="B62" s="353" t="s">
        <v>52</v>
      </c>
      <c r="C62" s="349" t="s">
        <v>365</v>
      </c>
      <c r="D62" s="357">
        <v>41870</v>
      </c>
      <c r="E62" s="357">
        <v>41844</v>
      </c>
      <c r="F62" s="357">
        <v>41350</v>
      </c>
      <c r="G62" s="357">
        <v>41153</v>
      </c>
      <c r="H62" s="357">
        <v>41474</v>
      </c>
      <c r="I62" s="357">
        <v>41474</v>
      </c>
      <c r="J62" s="357">
        <v>41213.859199999999</v>
      </c>
      <c r="K62" s="357">
        <v>41213.859199999999</v>
      </c>
      <c r="L62" s="357">
        <v>41214</v>
      </c>
      <c r="M62" s="357">
        <v>41214</v>
      </c>
      <c r="N62" s="357">
        <v>39359</v>
      </c>
      <c r="O62" s="357">
        <v>161643</v>
      </c>
      <c r="P62" s="357">
        <v>161643</v>
      </c>
      <c r="Q62" s="357">
        <v>161643</v>
      </c>
      <c r="R62" s="357">
        <v>161642.6048</v>
      </c>
      <c r="S62" s="357">
        <v>161643</v>
      </c>
      <c r="T62" s="357">
        <v>161643</v>
      </c>
      <c r="U62" s="357">
        <v>161643</v>
      </c>
      <c r="X62" s="500"/>
    </row>
    <row r="63" spans="1:24">
      <c r="A63" s="349">
        <v>34</v>
      </c>
      <c r="B63" s="353" t="s">
        <v>53</v>
      </c>
      <c r="C63" s="349" t="s">
        <v>365</v>
      </c>
      <c r="D63" s="357">
        <v>12745</v>
      </c>
      <c r="E63" s="357">
        <v>12732</v>
      </c>
      <c r="F63" s="357">
        <v>12609</v>
      </c>
      <c r="G63" s="357">
        <v>12485</v>
      </c>
      <c r="H63" s="357">
        <v>12646</v>
      </c>
      <c r="I63" s="357">
        <v>12646</v>
      </c>
      <c r="J63" s="357">
        <v>12608.7264</v>
      </c>
      <c r="K63" s="357">
        <v>12608.7264</v>
      </c>
      <c r="L63" s="357">
        <v>12609</v>
      </c>
      <c r="M63" s="357">
        <v>12609</v>
      </c>
      <c r="N63" s="357">
        <v>12090</v>
      </c>
      <c r="O63" s="357">
        <v>47036</v>
      </c>
      <c r="P63" s="357">
        <v>47036</v>
      </c>
      <c r="Q63" s="357">
        <v>47036</v>
      </c>
      <c r="R63" s="357">
        <v>47036.297599999998</v>
      </c>
      <c r="S63" s="357">
        <v>47036</v>
      </c>
      <c r="T63" s="357">
        <v>47036</v>
      </c>
      <c r="U63" s="357">
        <v>47036</v>
      </c>
      <c r="X63" s="500"/>
    </row>
    <row r="64" spans="1:24">
      <c r="A64" s="349">
        <v>35</v>
      </c>
      <c r="B64" s="353" t="s">
        <v>54</v>
      </c>
      <c r="C64" s="349" t="s">
        <v>365</v>
      </c>
      <c r="D64" s="357">
        <v>6725</v>
      </c>
      <c r="E64" s="357">
        <v>6688</v>
      </c>
      <c r="F64" s="357">
        <v>6663</v>
      </c>
      <c r="G64" s="357">
        <v>6614</v>
      </c>
      <c r="H64" s="357">
        <v>6663</v>
      </c>
      <c r="I64" s="357">
        <v>6663</v>
      </c>
      <c r="J64" s="357">
        <v>6638.76</v>
      </c>
      <c r="K64" s="357">
        <v>6638.76</v>
      </c>
      <c r="L64" s="357">
        <v>6639</v>
      </c>
      <c r="M64" s="357">
        <v>6639</v>
      </c>
      <c r="N64" s="357">
        <v>6304</v>
      </c>
      <c r="O64" s="357">
        <v>26306</v>
      </c>
      <c r="P64" s="357">
        <v>26306</v>
      </c>
      <c r="Q64" s="357">
        <v>26306</v>
      </c>
      <c r="R64" s="357">
        <v>26305.881600000001</v>
      </c>
      <c r="S64" s="357">
        <v>26306</v>
      </c>
      <c r="T64" s="357">
        <v>26306</v>
      </c>
      <c r="U64" s="357">
        <v>26306</v>
      </c>
      <c r="X64" s="500"/>
    </row>
    <row r="65" spans="1:24">
      <c r="A65" s="349">
        <v>36</v>
      </c>
      <c r="B65" s="353" t="s">
        <v>55</v>
      </c>
      <c r="C65" s="349" t="s">
        <v>365</v>
      </c>
      <c r="D65" s="357">
        <v>20026</v>
      </c>
      <c r="E65" s="357">
        <v>20113</v>
      </c>
      <c r="F65" s="357">
        <v>19964</v>
      </c>
      <c r="G65" s="357">
        <v>19767</v>
      </c>
      <c r="H65" s="357">
        <v>19915</v>
      </c>
      <c r="I65" s="357">
        <v>19828</v>
      </c>
      <c r="J65" s="357">
        <v>19952.342400000001</v>
      </c>
      <c r="K65" s="357">
        <v>19952.342400000001</v>
      </c>
      <c r="L65" s="357">
        <v>19952</v>
      </c>
      <c r="M65" s="357">
        <v>19952</v>
      </c>
      <c r="N65" s="357">
        <v>19087</v>
      </c>
      <c r="O65" s="357">
        <v>75382</v>
      </c>
      <c r="P65" s="357">
        <v>75382</v>
      </c>
      <c r="Q65" s="357">
        <v>75382</v>
      </c>
      <c r="R65" s="357">
        <v>75382.436799999996</v>
      </c>
      <c r="S65" s="357">
        <v>75382</v>
      </c>
      <c r="T65" s="357">
        <v>75382</v>
      </c>
      <c r="U65" s="357">
        <v>75382</v>
      </c>
      <c r="X65" s="500"/>
    </row>
    <row r="66" spans="1:24">
      <c r="A66" s="349">
        <v>37</v>
      </c>
      <c r="B66" s="353" t="s">
        <v>56</v>
      </c>
      <c r="C66" s="349" t="s">
        <v>365</v>
      </c>
      <c r="D66" s="357">
        <v>6774</v>
      </c>
      <c r="E66" s="357">
        <v>6774</v>
      </c>
      <c r="F66" s="357">
        <v>6700</v>
      </c>
      <c r="G66" s="357">
        <v>6639</v>
      </c>
      <c r="H66" s="357">
        <v>6700</v>
      </c>
      <c r="I66" s="357">
        <v>6737</v>
      </c>
      <c r="J66" s="357">
        <v>6699.9567999999999</v>
      </c>
      <c r="K66" s="357">
        <v>6699.9567999999999</v>
      </c>
      <c r="L66" s="357">
        <v>6700</v>
      </c>
      <c r="M66" s="357">
        <v>6700</v>
      </c>
      <c r="N66" s="357">
        <v>6404</v>
      </c>
      <c r="O66" s="357">
        <v>25255</v>
      </c>
      <c r="P66" s="357">
        <v>25255</v>
      </c>
      <c r="Q66" s="357">
        <v>25255</v>
      </c>
      <c r="R66" s="357">
        <v>25254.608</v>
      </c>
      <c r="S66" s="357">
        <v>25255</v>
      </c>
      <c r="T66" s="357">
        <v>25255</v>
      </c>
      <c r="U66" s="357">
        <v>25255</v>
      </c>
      <c r="X66" s="500"/>
    </row>
    <row r="67" spans="1:24">
      <c r="A67" s="349">
        <v>38</v>
      </c>
      <c r="B67" s="353" t="s">
        <v>57</v>
      </c>
      <c r="C67" s="349" t="s">
        <v>365</v>
      </c>
      <c r="D67" s="357">
        <v>5587</v>
      </c>
      <c r="E67" s="357">
        <v>5575</v>
      </c>
      <c r="F67" s="357">
        <v>5538</v>
      </c>
      <c r="G67" s="357">
        <v>5501</v>
      </c>
      <c r="H67" s="357">
        <v>5550</v>
      </c>
      <c r="I67" s="357">
        <v>5562</v>
      </c>
      <c r="J67" s="357">
        <v>5562.3519999999999</v>
      </c>
      <c r="K67" s="357">
        <v>5562.3519999999999</v>
      </c>
      <c r="L67" s="357">
        <v>5562</v>
      </c>
      <c r="M67" s="357">
        <v>5562</v>
      </c>
      <c r="N67" s="357">
        <v>5315</v>
      </c>
      <c r="O67" s="357">
        <v>21126</v>
      </c>
      <c r="P67" s="357">
        <v>21126</v>
      </c>
      <c r="Q67" s="357">
        <v>21126</v>
      </c>
      <c r="R67" s="357">
        <v>21126.009600000001</v>
      </c>
      <c r="S67" s="357">
        <v>21126</v>
      </c>
      <c r="T67" s="357">
        <v>21126</v>
      </c>
      <c r="U67" s="357">
        <v>21126</v>
      </c>
      <c r="X67" s="500"/>
    </row>
    <row r="68" spans="1:24">
      <c r="A68" s="349">
        <v>39</v>
      </c>
      <c r="B68" s="353" t="s">
        <v>58</v>
      </c>
      <c r="C68" s="349" t="s">
        <v>365</v>
      </c>
      <c r="D68" s="357">
        <v>18024</v>
      </c>
      <c r="E68" s="357">
        <v>18012</v>
      </c>
      <c r="F68" s="357">
        <v>17974</v>
      </c>
      <c r="G68" s="357">
        <v>17789</v>
      </c>
      <c r="H68" s="357">
        <v>17961</v>
      </c>
      <c r="I68" s="357">
        <v>17875</v>
      </c>
      <c r="J68" s="357">
        <v>17986.395199999999</v>
      </c>
      <c r="K68" s="357">
        <v>17986.395199999999</v>
      </c>
      <c r="L68" s="357">
        <v>17986</v>
      </c>
      <c r="M68" s="357">
        <v>17986</v>
      </c>
      <c r="N68" s="357">
        <v>17060</v>
      </c>
      <c r="O68" s="357">
        <v>67780</v>
      </c>
      <c r="P68" s="357">
        <v>67780</v>
      </c>
      <c r="Q68" s="357">
        <v>67780</v>
      </c>
      <c r="R68" s="357">
        <v>67779.8272</v>
      </c>
      <c r="S68" s="357">
        <v>67780</v>
      </c>
      <c r="T68" s="357">
        <v>67780</v>
      </c>
      <c r="U68" s="357">
        <v>67780</v>
      </c>
      <c r="X68" s="500"/>
    </row>
    <row r="69" spans="1:24">
      <c r="A69" s="349">
        <v>40</v>
      </c>
      <c r="B69" s="353" t="s">
        <v>59</v>
      </c>
      <c r="C69" s="349" t="s">
        <v>365</v>
      </c>
      <c r="D69" s="357">
        <v>16293</v>
      </c>
      <c r="E69" s="357">
        <v>16269</v>
      </c>
      <c r="F69" s="357">
        <v>16144</v>
      </c>
      <c r="G69" s="357">
        <v>15934</v>
      </c>
      <c r="H69" s="357">
        <v>16071</v>
      </c>
      <c r="I69" s="357">
        <v>16181</v>
      </c>
      <c r="J69" s="357">
        <v>16070.7168</v>
      </c>
      <c r="K69" s="357">
        <v>16070.7168</v>
      </c>
      <c r="L69" s="357">
        <v>16071</v>
      </c>
      <c r="M69" s="357">
        <v>16071</v>
      </c>
      <c r="N69" s="357">
        <v>15354</v>
      </c>
      <c r="O69" s="357">
        <v>65134</v>
      </c>
      <c r="P69" s="357">
        <v>65134</v>
      </c>
      <c r="Q69" s="357">
        <v>65134</v>
      </c>
      <c r="R69" s="357">
        <v>65134.1584</v>
      </c>
      <c r="S69" s="357">
        <v>65134</v>
      </c>
      <c r="T69" s="357">
        <v>65134</v>
      </c>
      <c r="U69" s="357">
        <v>65134</v>
      </c>
      <c r="X69" s="500"/>
    </row>
    <row r="70" spans="1:24">
      <c r="A70" s="349">
        <v>41</v>
      </c>
      <c r="B70" s="353" t="s">
        <v>60</v>
      </c>
      <c r="C70" s="349" t="s">
        <v>365</v>
      </c>
      <c r="D70" s="357">
        <v>5699</v>
      </c>
      <c r="E70" s="357">
        <v>5711</v>
      </c>
      <c r="F70" s="357">
        <v>5650</v>
      </c>
      <c r="G70" s="357">
        <v>5613</v>
      </c>
      <c r="H70" s="357">
        <v>5637</v>
      </c>
      <c r="I70" s="357">
        <v>5650</v>
      </c>
      <c r="J70" s="357">
        <v>5649.7759999999998</v>
      </c>
      <c r="K70" s="357">
        <v>5649.7759999999998</v>
      </c>
      <c r="L70" s="357">
        <v>5650</v>
      </c>
      <c r="M70" s="357">
        <v>5650</v>
      </c>
      <c r="N70" s="357">
        <v>5390</v>
      </c>
      <c r="O70" s="357">
        <v>21856</v>
      </c>
      <c r="P70" s="357">
        <v>21856</v>
      </c>
      <c r="Q70" s="357">
        <v>21856</v>
      </c>
      <c r="R70" s="357">
        <v>21856</v>
      </c>
      <c r="S70" s="357">
        <v>21856</v>
      </c>
      <c r="T70" s="357">
        <v>21856</v>
      </c>
      <c r="U70" s="357">
        <v>21856</v>
      </c>
      <c r="X70" s="500"/>
    </row>
    <row r="71" spans="1:24">
      <c r="A71" s="349">
        <v>42</v>
      </c>
      <c r="B71" s="353" t="s">
        <v>61</v>
      </c>
      <c r="C71" s="349" t="s">
        <v>365</v>
      </c>
      <c r="D71" s="357">
        <v>5143</v>
      </c>
      <c r="E71" s="357">
        <v>5118</v>
      </c>
      <c r="F71" s="357">
        <v>5094</v>
      </c>
      <c r="G71" s="357">
        <v>5056</v>
      </c>
      <c r="H71" s="357">
        <v>5106</v>
      </c>
      <c r="I71" s="357">
        <v>5094</v>
      </c>
      <c r="J71" s="357">
        <v>5068.4063999999998</v>
      </c>
      <c r="K71" s="357">
        <v>5068.4063999999998</v>
      </c>
      <c r="L71" s="357">
        <v>5068</v>
      </c>
      <c r="M71" s="357">
        <v>5068</v>
      </c>
      <c r="N71" s="357">
        <v>4883</v>
      </c>
      <c r="O71" s="357">
        <v>18752</v>
      </c>
      <c r="P71" s="357">
        <v>18752</v>
      </c>
      <c r="Q71" s="357">
        <v>18752</v>
      </c>
      <c r="R71" s="357">
        <v>18752.448</v>
      </c>
      <c r="S71" s="357">
        <v>18752</v>
      </c>
      <c r="T71" s="357">
        <v>18752</v>
      </c>
      <c r="U71" s="357">
        <v>18752</v>
      </c>
      <c r="X71" s="500"/>
    </row>
    <row r="72" spans="1:24">
      <c r="A72" s="349">
        <v>43</v>
      </c>
      <c r="B72" s="353" t="s">
        <v>62</v>
      </c>
      <c r="C72" s="349" t="s">
        <v>365</v>
      </c>
      <c r="D72" s="357">
        <v>15180</v>
      </c>
      <c r="E72" s="357">
        <v>15192</v>
      </c>
      <c r="F72" s="357">
        <v>15069</v>
      </c>
      <c r="G72" s="357">
        <v>15007</v>
      </c>
      <c r="H72" s="357">
        <v>15119</v>
      </c>
      <c r="I72" s="357">
        <v>15168</v>
      </c>
      <c r="J72" s="357">
        <v>15105.7744</v>
      </c>
      <c r="K72" s="357">
        <v>15105.7744</v>
      </c>
      <c r="L72" s="357">
        <v>15106</v>
      </c>
      <c r="M72" s="357">
        <v>15106</v>
      </c>
      <c r="N72" s="357">
        <v>14328</v>
      </c>
      <c r="O72" s="357">
        <v>55554</v>
      </c>
      <c r="P72" s="357">
        <v>55554</v>
      </c>
      <c r="Q72" s="357">
        <v>55554</v>
      </c>
      <c r="R72" s="357">
        <v>55553.580799999996</v>
      </c>
      <c r="S72" s="357">
        <v>55554</v>
      </c>
      <c r="T72" s="357">
        <v>55554</v>
      </c>
      <c r="U72" s="357">
        <v>55554</v>
      </c>
      <c r="X72" s="500"/>
    </row>
    <row r="73" spans="1:24">
      <c r="A73" s="349">
        <v>44</v>
      </c>
      <c r="B73" s="353" t="s">
        <v>63</v>
      </c>
      <c r="C73" s="349" t="s">
        <v>365</v>
      </c>
      <c r="D73" s="357">
        <v>44341</v>
      </c>
      <c r="E73" s="357">
        <v>44478</v>
      </c>
      <c r="F73" s="357">
        <v>44020</v>
      </c>
      <c r="G73" s="357">
        <v>43897</v>
      </c>
      <c r="H73" s="357">
        <v>44193</v>
      </c>
      <c r="I73" s="357">
        <v>44280</v>
      </c>
      <c r="J73" s="357">
        <v>44168.790399999998</v>
      </c>
      <c r="K73" s="357">
        <v>44168.790399999998</v>
      </c>
      <c r="L73" s="357">
        <v>44169</v>
      </c>
      <c r="M73" s="357">
        <v>44169</v>
      </c>
      <c r="N73" s="357">
        <v>42463</v>
      </c>
      <c r="O73" s="357">
        <v>161408</v>
      </c>
      <c r="P73" s="357">
        <v>161408</v>
      </c>
      <c r="Q73" s="357">
        <v>161408</v>
      </c>
      <c r="R73" s="357">
        <v>161407.65280000001</v>
      </c>
      <c r="S73" s="357">
        <v>161408</v>
      </c>
      <c r="T73" s="357">
        <v>161408</v>
      </c>
      <c r="U73" s="357">
        <v>161408</v>
      </c>
      <c r="X73" s="500"/>
    </row>
    <row r="74" spans="1:24">
      <c r="A74" s="349">
        <v>45</v>
      </c>
      <c r="B74" s="353" t="s">
        <v>64</v>
      </c>
      <c r="C74" s="349" t="s">
        <v>365</v>
      </c>
      <c r="D74" s="357">
        <v>16874</v>
      </c>
      <c r="E74" s="357">
        <v>16923</v>
      </c>
      <c r="F74" s="357">
        <v>16788</v>
      </c>
      <c r="G74" s="357">
        <v>16590</v>
      </c>
      <c r="H74" s="357">
        <v>16750</v>
      </c>
      <c r="I74" s="357">
        <v>16750</v>
      </c>
      <c r="J74" s="357">
        <v>16750.438399999999</v>
      </c>
      <c r="K74" s="357">
        <v>16750.438399999999</v>
      </c>
      <c r="L74" s="357">
        <v>16750</v>
      </c>
      <c r="M74" s="357">
        <v>16750</v>
      </c>
      <c r="N74" s="357">
        <v>15910</v>
      </c>
      <c r="O74" s="357">
        <v>62588</v>
      </c>
      <c r="P74" s="357">
        <v>62588</v>
      </c>
      <c r="Q74" s="357">
        <v>62588</v>
      </c>
      <c r="R74" s="357">
        <v>62587.934399999998</v>
      </c>
      <c r="S74" s="357">
        <v>62588</v>
      </c>
      <c r="T74" s="357">
        <v>62588</v>
      </c>
      <c r="U74" s="357">
        <v>62588</v>
      </c>
      <c r="X74" s="500"/>
    </row>
    <row r="75" spans="1:24">
      <c r="A75" s="349">
        <v>46</v>
      </c>
      <c r="B75" s="353" t="s">
        <v>65</v>
      </c>
      <c r="C75" s="349" t="s">
        <v>365</v>
      </c>
      <c r="D75" s="357">
        <v>16923</v>
      </c>
      <c r="E75" s="357">
        <v>16935</v>
      </c>
      <c r="F75" s="357">
        <v>16737</v>
      </c>
      <c r="G75" s="357">
        <v>16565</v>
      </c>
      <c r="H75" s="357">
        <v>16750</v>
      </c>
      <c r="I75" s="357">
        <v>16788</v>
      </c>
      <c r="J75" s="357">
        <v>16713.283199999998</v>
      </c>
      <c r="K75" s="357">
        <v>16713.283199999998</v>
      </c>
      <c r="L75" s="357">
        <v>16713</v>
      </c>
      <c r="M75" s="357">
        <v>16713</v>
      </c>
      <c r="N75" s="357">
        <v>16034</v>
      </c>
      <c r="O75" s="357">
        <v>61302</v>
      </c>
      <c r="P75" s="357">
        <v>61302</v>
      </c>
      <c r="Q75" s="357">
        <v>61302</v>
      </c>
      <c r="R75" s="357">
        <v>61301.7088</v>
      </c>
      <c r="S75" s="357">
        <v>61302</v>
      </c>
      <c r="T75" s="357">
        <v>61302</v>
      </c>
      <c r="U75" s="357">
        <v>61302</v>
      </c>
      <c r="X75" s="500"/>
    </row>
    <row r="76" spans="1:24">
      <c r="A76" s="349">
        <v>47</v>
      </c>
      <c r="B76" s="353" t="s">
        <v>66</v>
      </c>
      <c r="C76" s="349" t="s">
        <v>365</v>
      </c>
      <c r="D76" s="357">
        <v>69844</v>
      </c>
      <c r="E76" s="357">
        <v>69758</v>
      </c>
      <c r="F76" s="357">
        <v>69065</v>
      </c>
      <c r="G76" s="357">
        <v>68608</v>
      </c>
      <c r="H76" s="357">
        <v>69288</v>
      </c>
      <c r="I76" s="357">
        <v>69102</v>
      </c>
      <c r="J76" s="357">
        <v>68892.297600000005</v>
      </c>
      <c r="K76" s="357">
        <v>68892.297600000005</v>
      </c>
      <c r="L76" s="357">
        <v>68892</v>
      </c>
      <c r="M76" s="357">
        <v>68892</v>
      </c>
      <c r="N76" s="357">
        <v>66568</v>
      </c>
      <c r="O76" s="357">
        <v>263651</v>
      </c>
      <c r="P76" s="357">
        <v>263651</v>
      </c>
      <c r="Q76" s="357">
        <v>263651</v>
      </c>
      <c r="R76" s="357">
        <v>263651.11359999998</v>
      </c>
      <c r="S76" s="357">
        <v>263651</v>
      </c>
      <c r="T76" s="357">
        <v>263651</v>
      </c>
      <c r="U76" s="357">
        <v>263651</v>
      </c>
      <c r="X76" s="500"/>
    </row>
    <row r="77" spans="1:24">
      <c r="A77" s="349">
        <v>48</v>
      </c>
      <c r="B77" s="353" t="s">
        <v>67</v>
      </c>
      <c r="C77" s="349" t="s">
        <v>365</v>
      </c>
      <c r="D77" s="357">
        <v>78324</v>
      </c>
      <c r="E77" s="357">
        <v>78348</v>
      </c>
      <c r="F77" s="357">
        <v>77755</v>
      </c>
      <c r="G77" s="357">
        <v>77014</v>
      </c>
      <c r="H77" s="357">
        <v>77941</v>
      </c>
      <c r="I77" s="357">
        <v>77892</v>
      </c>
      <c r="J77" s="357">
        <v>77866.371199999994</v>
      </c>
      <c r="K77" s="357">
        <v>77866.371199999994</v>
      </c>
      <c r="L77" s="357">
        <v>77866</v>
      </c>
      <c r="M77" s="357">
        <v>77866</v>
      </c>
      <c r="N77" s="357">
        <v>74245</v>
      </c>
      <c r="O77" s="357">
        <v>302789</v>
      </c>
      <c r="P77" s="357">
        <v>302789</v>
      </c>
      <c r="Q77" s="357">
        <v>302789</v>
      </c>
      <c r="R77" s="357">
        <v>302788.65279999998</v>
      </c>
      <c r="S77" s="357">
        <v>302789</v>
      </c>
      <c r="T77" s="357">
        <v>302789</v>
      </c>
      <c r="U77" s="357">
        <v>302789</v>
      </c>
      <c r="X77" s="500"/>
    </row>
    <row r="78" spans="1:24">
      <c r="A78" s="349">
        <v>49</v>
      </c>
      <c r="B78" s="353" t="s">
        <v>68</v>
      </c>
      <c r="C78" s="349" t="s">
        <v>365</v>
      </c>
      <c r="D78" s="357">
        <v>30793</v>
      </c>
      <c r="E78" s="357">
        <v>30806</v>
      </c>
      <c r="F78" s="357">
        <v>30657</v>
      </c>
      <c r="G78" s="357">
        <v>30460</v>
      </c>
      <c r="H78" s="357">
        <v>30681</v>
      </c>
      <c r="I78" s="357">
        <v>30719</v>
      </c>
      <c r="J78" s="357">
        <v>30669.432000000001</v>
      </c>
      <c r="K78" s="357">
        <v>30669.432000000001</v>
      </c>
      <c r="L78" s="357">
        <v>30669</v>
      </c>
      <c r="M78" s="357">
        <v>30669</v>
      </c>
      <c r="N78" s="357">
        <v>29063</v>
      </c>
      <c r="O78" s="357">
        <v>117585</v>
      </c>
      <c r="P78" s="357">
        <v>117585</v>
      </c>
      <c r="Q78" s="357">
        <v>117585</v>
      </c>
      <c r="R78" s="357">
        <v>117585.28</v>
      </c>
      <c r="S78" s="357">
        <v>117585</v>
      </c>
      <c r="T78" s="357">
        <v>117585</v>
      </c>
      <c r="U78" s="357">
        <v>117585</v>
      </c>
      <c r="X78" s="500"/>
    </row>
    <row r="79" spans="1:24">
      <c r="A79" s="349">
        <v>50</v>
      </c>
      <c r="B79" s="353" t="s">
        <v>69</v>
      </c>
      <c r="C79" s="349" t="s">
        <v>365</v>
      </c>
      <c r="D79" s="357">
        <v>15576</v>
      </c>
      <c r="E79" s="357">
        <v>15588</v>
      </c>
      <c r="F79" s="357">
        <v>15403</v>
      </c>
      <c r="G79" s="357">
        <v>15280</v>
      </c>
      <c r="H79" s="357">
        <v>15415</v>
      </c>
      <c r="I79" s="357">
        <v>15415</v>
      </c>
      <c r="J79" s="357">
        <v>15452.191999999999</v>
      </c>
      <c r="K79" s="357">
        <v>15452.191999999999</v>
      </c>
      <c r="L79" s="357">
        <v>15452</v>
      </c>
      <c r="M79" s="357">
        <v>15452</v>
      </c>
      <c r="N79" s="357">
        <v>14747</v>
      </c>
      <c r="O79" s="357">
        <v>59621</v>
      </c>
      <c r="P79" s="357">
        <v>59621</v>
      </c>
      <c r="Q79" s="357">
        <v>59621</v>
      </c>
      <c r="R79" s="357">
        <v>59620.982400000001</v>
      </c>
      <c r="S79" s="357">
        <v>59621</v>
      </c>
      <c r="T79" s="357">
        <v>59621</v>
      </c>
      <c r="U79" s="357">
        <v>59621</v>
      </c>
      <c r="X79" s="500"/>
    </row>
    <row r="80" spans="1:24">
      <c r="A80" s="349">
        <v>51</v>
      </c>
      <c r="B80" s="353" t="s">
        <v>70</v>
      </c>
      <c r="C80" s="349" t="s">
        <v>365</v>
      </c>
      <c r="D80" s="357">
        <v>34588</v>
      </c>
      <c r="E80" s="357">
        <v>34514</v>
      </c>
      <c r="F80" s="357">
        <v>34341</v>
      </c>
      <c r="G80" s="357">
        <v>34020</v>
      </c>
      <c r="H80" s="357">
        <v>34130</v>
      </c>
      <c r="I80" s="357">
        <v>34218</v>
      </c>
      <c r="J80" s="357">
        <v>34278.950400000002</v>
      </c>
      <c r="K80" s="357">
        <v>34278.950400000002</v>
      </c>
      <c r="L80" s="357">
        <v>34279</v>
      </c>
      <c r="M80" s="357">
        <v>34279</v>
      </c>
      <c r="N80" s="357">
        <v>32647</v>
      </c>
      <c r="O80" s="357">
        <v>128562</v>
      </c>
      <c r="P80" s="357">
        <v>128562</v>
      </c>
      <c r="Q80" s="357">
        <v>128562</v>
      </c>
      <c r="R80" s="357">
        <v>128562.45600000001</v>
      </c>
      <c r="S80" s="357">
        <v>128562</v>
      </c>
      <c r="T80" s="357">
        <v>128562</v>
      </c>
      <c r="U80" s="357">
        <v>128562</v>
      </c>
      <c r="X80" s="500"/>
    </row>
    <row r="81" spans="1:24">
      <c r="A81" s="349">
        <v>52</v>
      </c>
      <c r="B81" s="353" t="s">
        <v>71</v>
      </c>
      <c r="C81" s="349" t="s">
        <v>365</v>
      </c>
      <c r="D81" s="357">
        <v>17418</v>
      </c>
      <c r="E81" s="357">
        <v>17331</v>
      </c>
      <c r="F81" s="357">
        <v>17220</v>
      </c>
      <c r="G81" s="357">
        <v>17009</v>
      </c>
      <c r="H81" s="357">
        <v>17257</v>
      </c>
      <c r="I81" s="357">
        <v>17244</v>
      </c>
      <c r="J81" s="357">
        <v>17232.3632</v>
      </c>
      <c r="K81" s="357">
        <v>17232.3632</v>
      </c>
      <c r="L81" s="357">
        <v>17232</v>
      </c>
      <c r="M81" s="357">
        <v>17232</v>
      </c>
      <c r="N81" s="357">
        <v>16342</v>
      </c>
      <c r="O81" s="357">
        <v>63675</v>
      </c>
      <c r="P81" s="357">
        <v>63675</v>
      </c>
      <c r="Q81" s="357">
        <v>63675</v>
      </c>
      <c r="R81" s="357">
        <v>63675.270400000001</v>
      </c>
      <c r="S81" s="357">
        <v>63675</v>
      </c>
      <c r="T81" s="357">
        <v>63675</v>
      </c>
      <c r="U81" s="357">
        <v>63675</v>
      </c>
      <c r="X81" s="500"/>
    </row>
    <row r="82" spans="1:24">
      <c r="A82" s="349">
        <v>53</v>
      </c>
      <c r="B82" s="353" t="s">
        <v>72</v>
      </c>
      <c r="C82" s="349" t="s">
        <v>365</v>
      </c>
      <c r="D82" s="357">
        <v>87521</v>
      </c>
      <c r="E82" s="357">
        <v>87200</v>
      </c>
      <c r="F82" s="357">
        <v>86866</v>
      </c>
      <c r="G82" s="357">
        <v>85692</v>
      </c>
      <c r="H82" s="357">
        <v>86434</v>
      </c>
      <c r="I82" s="357">
        <v>86866</v>
      </c>
      <c r="J82" s="357">
        <v>86779.247999999992</v>
      </c>
      <c r="K82" s="357">
        <v>86779.247999999992</v>
      </c>
      <c r="L82" s="357">
        <v>86779</v>
      </c>
      <c r="M82" s="357">
        <v>86779</v>
      </c>
      <c r="N82" s="357">
        <v>83071</v>
      </c>
      <c r="O82" s="357">
        <v>334039</v>
      </c>
      <c r="P82" s="357">
        <v>334039</v>
      </c>
      <c r="Q82" s="357">
        <v>334039</v>
      </c>
      <c r="R82" s="357">
        <v>334039.45439999999</v>
      </c>
      <c r="S82" s="357">
        <v>334039</v>
      </c>
      <c r="T82" s="357">
        <v>334039</v>
      </c>
      <c r="U82" s="357">
        <v>334039</v>
      </c>
      <c r="X82" s="500"/>
    </row>
    <row r="83" spans="1:24">
      <c r="A83" s="349">
        <v>54</v>
      </c>
      <c r="B83" s="353" t="s">
        <v>73</v>
      </c>
      <c r="C83" s="349" t="s">
        <v>365</v>
      </c>
      <c r="D83" s="357">
        <v>14216</v>
      </c>
      <c r="E83" s="357">
        <v>14191</v>
      </c>
      <c r="F83" s="357">
        <v>14080</v>
      </c>
      <c r="G83" s="357">
        <v>13944</v>
      </c>
      <c r="H83" s="357">
        <v>14056</v>
      </c>
      <c r="I83" s="357">
        <v>14142</v>
      </c>
      <c r="J83" s="357">
        <v>14153.945599999999</v>
      </c>
      <c r="K83" s="357">
        <v>14153.945599999999</v>
      </c>
      <c r="L83" s="357">
        <v>14154</v>
      </c>
      <c r="M83" s="357">
        <v>14154</v>
      </c>
      <c r="N83" s="357">
        <v>13561</v>
      </c>
      <c r="O83" s="357">
        <v>52537</v>
      </c>
      <c r="P83" s="357">
        <v>52537</v>
      </c>
      <c r="Q83" s="357">
        <v>52537</v>
      </c>
      <c r="R83" s="357">
        <v>52537.452799999999</v>
      </c>
      <c r="S83" s="357">
        <v>52537</v>
      </c>
      <c r="T83" s="357">
        <v>52537</v>
      </c>
      <c r="U83" s="357">
        <v>52537</v>
      </c>
      <c r="X83" s="500"/>
    </row>
    <row r="84" spans="1:24">
      <c r="A84" s="349">
        <v>55</v>
      </c>
      <c r="B84" s="353" t="s">
        <v>74</v>
      </c>
      <c r="C84" s="349" t="s">
        <v>365</v>
      </c>
      <c r="D84" s="357">
        <v>44823</v>
      </c>
      <c r="E84" s="357">
        <v>44799</v>
      </c>
      <c r="F84" s="357">
        <v>44391</v>
      </c>
      <c r="G84" s="357">
        <v>43810</v>
      </c>
      <c r="H84" s="357">
        <v>44379</v>
      </c>
      <c r="I84" s="357">
        <v>44218</v>
      </c>
      <c r="J84" s="357">
        <v>44304.297599999998</v>
      </c>
      <c r="K84" s="357">
        <v>44304.297599999998</v>
      </c>
      <c r="L84" s="357">
        <v>44304</v>
      </c>
      <c r="M84" s="357">
        <v>44304</v>
      </c>
      <c r="N84" s="357">
        <v>42265</v>
      </c>
      <c r="O84" s="357">
        <v>174165</v>
      </c>
      <c r="P84" s="357">
        <v>174165</v>
      </c>
      <c r="Q84" s="357">
        <v>174165</v>
      </c>
      <c r="R84" s="357">
        <v>174165</v>
      </c>
      <c r="S84" s="357">
        <v>174165</v>
      </c>
      <c r="T84" s="357">
        <v>174165</v>
      </c>
      <c r="U84" s="357">
        <v>174165</v>
      </c>
      <c r="X84" s="500"/>
    </row>
    <row r="85" spans="1:24">
      <c r="A85" s="349">
        <v>56</v>
      </c>
      <c r="B85" s="353" t="s">
        <v>75</v>
      </c>
      <c r="C85" s="349" t="s">
        <v>365</v>
      </c>
      <c r="D85" s="357">
        <v>12115</v>
      </c>
      <c r="E85" s="357">
        <v>12115</v>
      </c>
      <c r="F85" s="357">
        <v>11954</v>
      </c>
      <c r="G85" s="357">
        <v>11855</v>
      </c>
      <c r="H85" s="357">
        <v>11954</v>
      </c>
      <c r="I85" s="357">
        <v>11966</v>
      </c>
      <c r="J85" s="357">
        <v>11954.1392</v>
      </c>
      <c r="K85" s="357">
        <v>11954.1392</v>
      </c>
      <c r="L85" s="357">
        <v>11954</v>
      </c>
      <c r="M85" s="357">
        <v>11954</v>
      </c>
      <c r="N85" s="357">
        <v>11398</v>
      </c>
      <c r="O85" s="357">
        <v>45442</v>
      </c>
      <c r="P85" s="357">
        <v>45442</v>
      </c>
      <c r="Q85" s="357">
        <v>45442</v>
      </c>
      <c r="R85" s="357">
        <v>45441.902399999999</v>
      </c>
      <c r="S85" s="357">
        <v>45442</v>
      </c>
      <c r="T85" s="357">
        <v>45442</v>
      </c>
      <c r="U85" s="357">
        <v>45442</v>
      </c>
      <c r="X85" s="500"/>
    </row>
    <row r="86" spans="1:24">
      <c r="A86" s="349">
        <v>57</v>
      </c>
      <c r="B86" s="353" t="s">
        <v>76</v>
      </c>
      <c r="C86" s="349" t="s">
        <v>365</v>
      </c>
      <c r="D86" s="357">
        <v>15045</v>
      </c>
      <c r="E86" s="357">
        <v>15045</v>
      </c>
      <c r="F86" s="357">
        <v>14871</v>
      </c>
      <c r="G86" s="357">
        <v>14834</v>
      </c>
      <c r="H86" s="357">
        <v>14958</v>
      </c>
      <c r="I86" s="357">
        <v>14908</v>
      </c>
      <c r="J86" s="357">
        <v>14921.091199999999</v>
      </c>
      <c r="K86" s="357">
        <v>14921.091199999999</v>
      </c>
      <c r="L86" s="357">
        <v>14921</v>
      </c>
      <c r="M86" s="357">
        <v>14921</v>
      </c>
      <c r="N86" s="357">
        <v>14365</v>
      </c>
      <c r="O86" s="357">
        <v>55690</v>
      </c>
      <c r="P86" s="357">
        <v>55690</v>
      </c>
      <c r="Q86" s="357">
        <v>55690</v>
      </c>
      <c r="R86" s="357">
        <v>55690.180800000002</v>
      </c>
      <c r="S86" s="357">
        <v>55690</v>
      </c>
      <c r="T86" s="357">
        <v>55690</v>
      </c>
      <c r="U86" s="357">
        <v>55690</v>
      </c>
      <c r="X86" s="500"/>
    </row>
    <row r="87" spans="1:24">
      <c r="A87" s="349">
        <v>58</v>
      </c>
      <c r="B87" s="353" t="s">
        <v>77</v>
      </c>
      <c r="C87" s="349" t="s">
        <v>365</v>
      </c>
      <c r="D87" s="357">
        <v>44614</v>
      </c>
      <c r="E87" s="357">
        <v>44602</v>
      </c>
      <c r="F87" s="357">
        <v>43983</v>
      </c>
      <c r="G87" s="357">
        <v>43810</v>
      </c>
      <c r="H87" s="357">
        <v>44169</v>
      </c>
      <c r="I87" s="357">
        <v>44267</v>
      </c>
      <c r="J87" s="357">
        <v>44082.459199999998</v>
      </c>
      <c r="K87" s="357">
        <v>44082.459199999998</v>
      </c>
      <c r="L87" s="357">
        <v>44082</v>
      </c>
      <c r="M87" s="357">
        <v>44082</v>
      </c>
      <c r="N87" s="357">
        <v>42104</v>
      </c>
      <c r="O87" s="357">
        <v>173015</v>
      </c>
      <c r="P87" s="357">
        <v>173015</v>
      </c>
      <c r="Q87" s="357">
        <v>173015</v>
      </c>
      <c r="R87" s="357">
        <v>173015.3744</v>
      </c>
      <c r="S87" s="357">
        <v>173015</v>
      </c>
      <c r="T87" s="357">
        <v>173015</v>
      </c>
      <c r="U87" s="357">
        <v>173015</v>
      </c>
      <c r="X87" s="500"/>
    </row>
    <row r="88" spans="1:24">
      <c r="A88" s="349">
        <v>59</v>
      </c>
      <c r="B88" s="353" t="s">
        <v>78</v>
      </c>
      <c r="C88" s="349" t="s">
        <v>365</v>
      </c>
      <c r="D88" s="357">
        <v>20076</v>
      </c>
      <c r="E88" s="357">
        <v>20088</v>
      </c>
      <c r="F88" s="357">
        <v>19902</v>
      </c>
      <c r="G88" s="357">
        <v>19729</v>
      </c>
      <c r="H88" s="357">
        <v>19964</v>
      </c>
      <c r="I88" s="357">
        <v>19915</v>
      </c>
      <c r="J88" s="357">
        <v>19827.763200000001</v>
      </c>
      <c r="K88" s="357">
        <v>19827.763200000001</v>
      </c>
      <c r="L88" s="357">
        <v>19828</v>
      </c>
      <c r="M88" s="357">
        <v>19828</v>
      </c>
      <c r="N88" s="357">
        <v>18926</v>
      </c>
      <c r="O88" s="357">
        <v>80154</v>
      </c>
      <c r="P88" s="357">
        <v>80154</v>
      </c>
      <c r="Q88" s="357">
        <v>80154</v>
      </c>
      <c r="R88" s="357">
        <v>80153.601599999995</v>
      </c>
      <c r="S88" s="357">
        <v>80154</v>
      </c>
      <c r="T88" s="357">
        <v>80154</v>
      </c>
      <c r="U88" s="357">
        <v>80154</v>
      </c>
      <c r="X88" s="500"/>
    </row>
    <row r="89" spans="1:24">
      <c r="A89" s="349">
        <v>60</v>
      </c>
      <c r="B89" s="353" t="s">
        <v>79</v>
      </c>
      <c r="C89" s="349" t="s">
        <v>365</v>
      </c>
      <c r="D89" s="357">
        <v>12473</v>
      </c>
      <c r="E89" s="357">
        <v>12399</v>
      </c>
      <c r="F89" s="357">
        <v>12325</v>
      </c>
      <c r="G89" s="357">
        <v>12275</v>
      </c>
      <c r="H89" s="357">
        <v>12350</v>
      </c>
      <c r="I89" s="357">
        <v>12350</v>
      </c>
      <c r="J89" s="357">
        <v>12386.887999999999</v>
      </c>
      <c r="K89" s="357">
        <v>12386.887999999999</v>
      </c>
      <c r="L89" s="357">
        <v>12387</v>
      </c>
      <c r="M89" s="357">
        <v>12387</v>
      </c>
      <c r="N89" s="357">
        <v>11706</v>
      </c>
      <c r="O89" s="357">
        <v>46122</v>
      </c>
      <c r="P89" s="357">
        <v>46122</v>
      </c>
      <c r="Q89" s="357">
        <v>46122</v>
      </c>
      <c r="R89" s="357">
        <v>46121.623999999996</v>
      </c>
      <c r="S89" s="357">
        <v>46122</v>
      </c>
      <c r="T89" s="357">
        <v>46122</v>
      </c>
      <c r="U89" s="357">
        <v>46122</v>
      </c>
      <c r="X89" s="500"/>
    </row>
    <row r="90" spans="1:24">
      <c r="A90" s="349">
        <v>61</v>
      </c>
      <c r="B90" s="353" t="s">
        <v>80</v>
      </c>
      <c r="C90" s="349" t="s">
        <v>365</v>
      </c>
      <c r="D90" s="357">
        <v>15873</v>
      </c>
      <c r="E90" s="357">
        <v>15836</v>
      </c>
      <c r="F90" s="357">
        <v>15748</v>
      </c>
      <c r="G90" s="357">
        <v>15613</v>
      </c>
      <c r="H90" s="357">
        <v>15699</v>
      </c>
      <c r="I90" s="357">
        <v>15785</v>
      </c>
      <c r="J90" s="357">
        <v>15773.475200000001</v>
      </c>
      <c r="K90" s="357">
        <v>15773.475200000001</v>
      </c>
      <c r="L90" s="357">
        <v>15773</v>
      </c>
      <c r="M90" s="357">
        <v>15773</v>
      </c>
      <c r="N90" s="357">
        <v>15094</v>
      </c>
      <c r="O90" s="357">
        <v>62365</v>
      </c>
      <c r="P90" s="357">
        <v>62365</v>
      </c>
      <c r="Q90" s="357">
        <v>62365</v>
      </c>
      <c r="R90" s="357">
        <v>62365.003199999999</v>
      </c>
      <c r="S90" s="357">
        <v>62365</v>
      </c>
      <c r="T90" s="357">
        <v>62365</v>
      </c>
      <c r="U90" s="357">
        <v>62365</v>
      </c>
      <c r="X90" s="500"/>
    </row>
    <row r="91" spans="1:24">
      <c r="A91" s="349">
        <v>62</v>
      </c>
      <c r="B91" s="353" t="s">
        <v>81</v>
      </c>
      <c r="C91" s="349" t="s">
        <v>365</v>
      </c>
      <c r="D91" s="357">
        <v>23957</v>
      </c>
      <c r="E91" s="357">
        <v>24032</v>
      </c>
      <c r="F91" s="357">
        <v>23709</v>
      </c>
      <c r="G91" s="357">
        <v>23549</v>
      </c>
      <c r="H91" s="357">
        <v>23870</v>
      </c>
      <c r="I91" s="357">
        <v>23709</v>
      </c>
      <c r="J91" s="357">
        <v>23845.988799999999</v>
      </c>
      <c r="K91" s="357">
        <v>23845.988799999999</v>
      </c>
      <c r="L91" s="357">
        <v>23846</v>
      </c>
      <c r="M91" s="357">
        <v>23846</v>
      </c>
      <c r="N91" s="357">
        <v>22659</v>
      </c>
      <c r="O91" s="357">
        <v>92292</v>
      </c>
      <c r="P91" s="357">
        <v>92292</v>
      </c>
      <c r="Q91" s="357">
        <v>92292</v>
      </c>
      <c r="R91" s="357">
        <v>92292.423999999999</v>
      </c>
      <c r="S91" s="357">
        <v>92292</v>
      </c>
      <c r="T91" s="357">
        <v>92292</v>
      </c>
      <c r="U91" s="357">
        <v>92292</v>
      </c>
      <c r="X91" s="500"/>
    </row>
    <row r="92" spans="1:24">
      <c r="A92" s="349">
        <v>63</v>
      </c>
      <c r="B92" s="353" t="s">
        <v>82</v>
      </c>
      <c r="C92" s="349" t="s">
        <v>365</v>
      </c>
      <c r="D92" s="357">
        <v>25898</v>
      </c>
      <c r="E92" s="357">
        <v>25873</v>
      </c>
      <c r="F92" s="357">
        <v>25675</v>
      </c>
      <c r="G92" s="357">
        <v>25515</v>
      </c>
      <c r="H92" s="357">
        <v>25589</v>
      </c>
      <c r="I92" s="357">
        <v>25577</v>
      </c>
      <c r="J92" s="357">
        <v>25626.16</v>
      </c>
      <c r="K92" s="357">
        <v>25626.16</v>
      </c>
      <c r="L92" s="357">
        <v>25626</v>
      </c>
      <c r="M92" s="357">
        <v>25626</v>
      </c>
      <c r="N92" s="357">
        <v>24649</v>
      </c>
      <c r="O92" s="357">
        <v>99302</v>
      </c>
      <c r="P92" s="357">
        <v>99302</v>
      </c>
      <c r="Q92" s="357">
        <v>99302</v>
      </c>
      <c r="R92" s="357">
        <v>99301.643199999991</v>
      </c>
      <c r="S92" s="357">
        <v>99302</v>
      </c>
      <c r="T92" s="357">
        <v>99302</v>
      </c>
      <c r="U92" s="357">
        <v>99302</v>
      </c>
      <c r="X92" s="500"/>
    </row>
    <row r="93" spans="1:24">
      <c r="A93" s="349">
        <v>64</v>
      </c>
      <c r="B93" s="353" t="s">
        <v>83</v>
      </c>
      <c r="C93" s="349" t="s">
        <v>365</v>
      </c>
      <c r="D93" s="357">
        <v>5785</v>
      </c>
      <c r="E93" s="357">
        <v>5760</v>
      </c>
      <c r="F93" s="357">
        <v>5711</v>
      </c>
      <c r="G93" s="357">
        <v>5674</v>
      </c>
      <c r="H93" s="357">
        <v>5736</v>
      </c>
      <c r="I93" s="357">
        <v>5723</v>
      </c>
      <c r="J93" s="357">
        <v>5722.9935999999998</v>
      </c>
      <c r="K93" s="357">
        <v>5722.9935999999998</v>
      </c>
      <c r="L93" s="357">
        <v>5723</v>
      </c>
      <c r="M93" s="357">
        <v>5723</v>
      </c>
      <c r="N93" s="357">
        <v>5464</v>
      </c>
      <c r="O93" s="357">
        <v>23006</v>
      </c>
      <c r="P93" s="357">
        <v>23006</v>
      </c>
      <c r="Q93" s="357">
        <v>23006</v>
      </c>
      <c r="R93" s="357">
        <v>23005.625599999999</v>
      </c>
      <c r="S93" s="357">
        <v>23006</v>
      </c>
      <c r="T93" s="357">
        <v>23006</v>
      </c>
      <c r="U93" s="357">
        <v>23006</v>
      </c>
      <c r="X93" s="500"/>
    </row>
    <row r="94" spans="1:24">
      <c r="A94" s="349">
        <v>65</v>
      </c>
      <c r="B94" s="353" t="s">
        <v>84</v>
      </c>
      <c r="C94" s="349" t="s">
        <v>365</v>
      </c>
      <c r="D94" s="357">
        <v>17702</v>
      </c>
      <c r="E94" s="357">
        <v>17702</v>
      </c>
      <c r="F94" s="357">
        <v>17616</v>
      </c>
      <c r="G94" s="357">
        <v>17491</v>
      </c>
      <c r="H94" s="357">
        <v>17628</v>
      </c>
      <c r="I94" s="357">
        <v>17579</v>
      </c>
      <c r="J94" s="357">
        <v>17639.977599999998</v>
      </c>
      <c r="K94" s="357">
        <v>17639.977599999998</v>
      </c>
      <c r="L94" s="357">
        <v>17640</v>
      </c>
      <c r="M94" s="357">
        <v>17640</v>
      </c>
      <c r="N94" s="357">
        <v>16725</v>
      </c>
      <c r="O94" s="357">
        <v>70499</v>
      </c>
      <c r="P94" s="357">
        <v>70499</v>
      </c>
      <c r="Q94" s="357">
        <v>70499</v>
      </c>
      <c r="R94" s="357">
        <v>70498.713600000003</v>
      </c>
      <c r="S94" s="357">
        <v>70499</v>
      </c>
      <c r="T94" s="357">
        <v>70499</v>
      </c>
      <c r="U94" s="357">
        <v>70499</v>
      </c>
      <c r="X94" s="500"/>
    </row>
    <row r="95" spans="1:24">
      <c r="A95" s="349">
        <v>66</v>
      </c>
      <c r="B95" s="353" t="s">
        <v>85</v>
      </c>
      <c r="C95" s="349" t="s">
        <v>365</v>
      </c>
      <c r="D95" s="357">
        <v>7689</v>
      </c>
      <c r="E95" s="357">
        <v>7689</v>
      </c>
      <c r="F95" s="357">
        <v>7615</v>
      </c>
      <c r="G95" s="357">
        <v>7553</v>
      </c>
      <c r="H95" s="357">
        <v>7615</v>
      </c>
      <c r="I95" s="357">
        <v>7628</v>
      </c>
      <c r="J95" s="357">
        <v>7614.6304</v>
      </c>
      <c r="K95" s="357">
        <v>7614.6304</v>
      </c>
      <c r="L95" s="357">
        <v>7615</v>
      </c>
      <c r="M95" s="357">
        <v>7615</v>
      </c>
      <c r="N95" s="357">
        <v>7256</v>
      </c>
      <c r="O95" s="357">
        <v>30460</v>
      </c>
      <c r="P95" s="357">
        <v>30460</v>
      </c>
      <c r="Q95" s="357">
        <v>30460</v>
      </c>
      <c r="R95" s="357">
        <v>30459.614399999999</v>
      </c>
      <c r="S95" s="357">
        <v>30460</v>
      </c>
      <c r="T95" s="357">
        <v>30460</v>
      </c>
      <c r="U95" s="357">
        <v>30460</v>
      </c>
      <c r="X95" s="500"/>
    </row>
    <row r="96" spans="1:24">
      <c r="A96" s="349">
        <v>67</v>
      </c>
      <c r="B96" s="353" t="s">
        <v>86</v>
      </c>
      <c r="C96" s="349" t="s">
        <v>365</v>
      </c>
      <c r="D96" s="357">
        <v>16737</v>
      </c>
      <c r="E96" s="357">
        <v>16800</v>
      </c>
      <c r="F96" s="357">
        <v>16590</v>
      </c>
      <c r="G96" s="357">
        <v>16453</v>
      </c>
      <c r="H96" s="357">
        <v>16565</v>
      </c>
      <c r="I96" s="357">
        <v>16676</v>
      </c>
      <c r="J96" s="357">
        <v>16626.952000000001</v>
      </c>
      <c r="K96" s="357">
        <v>16626.952000000001</v>
      </c>
      <c r="L96" s="357">
        <v>16627</v>
      </c>
      <c r="M96" s="357">
        <v>16627</v>
      </c>
      <c r="N96" s="357">
        <v>15748</v>
      </c>
      <c r="O96" s="357">
        <v>66049</v>
      </c>
      <c r="P96" s="357">
        <v>66049</v>
      </c>
      <c r="Q96" s="357">
        <v>66049</v>
      </c>
      <c r="R96" s="357">
        <v>66048.831999999995</v>
      </c>
      <c r="S96" s="357">
        <v>66049</v>
      </c>
      <c r="T96" s="357">
        <v>66049</v>
      </c>
      <c r="U96" s="357">
        <v>66049</v>
      </c>
      <c r="X96" s="500"/>
    </row>
    <row r="97" spans="1:24">
      <c r="A97" s="349">
        <v>68</v>
      </c>
      <c r="B97" s="353" t="s">
        <v>87</v>
      </c>
      <c r="C97" s="349" t="s">
        <v>365</v>
      </c>
      <c r="D97" s="357">
        <v>17887</v>
      </c>
      <c r="E97" s="357">
        <v>17949</v>
      </c>
      <c r="F97" s="357">
        <v>17739</v>
      </c>
      <c r="G97" s="357">
        <v>17529</v>
      </c>
      <c r="H97" s="357">
        <v>17801</v>
      </c>
      <c r="I97" s="357">
        <v>17702</v>
      </c>
      <c r="J97" s="357">
        <v>17800.619200000001</v>
      </c>
      <c r="K97" s="357">
        <v>17800.619200000001</v>
      </c>
      <c r="L97" s="357">
        <v>17801</v>
      </c>
      <c r="M97" s="357">
        <v>17801</v>
      </c>
      <c r="N97" s="357">
        <v>16948</v>
      </c>
      <c r="O97" s="357">
        <v>66221</v>
      </c>
      <c r="P97" s="357">
        <v>66221</v>
      </c>
      <c r="Q97" s="357">
        <v>66221</v>
      </c>
      <c r="R97" s="357">
        <v>66221.494399999996</v>
      </c>
      <c r="S97" s="357">
        <v>66221</v>
      </c>
      <c r="T97" s="357">
        <v>66221</v>
      </c>
      <c r="U97" s="357">
        <v>66221</v>
      </c>
      <c r="X97" s="500"/>
    </row>
    <row r="98" spans="1:24">
      <c r="A98" s="349">
        <v>69</v>
      </c>
      <c r="B98" s="353" t="s">
        <v>88</v>
      </c>
      <c r="C98" s="349" t="s">
        <v>365</v>
      </c>
      <c r="D98" s="357">
        <v>10866</v>
      </c>
      <c r="E98" s="357">
        <v>10915</v>
      </c>
      <c r="F98" s="357">
        <v>10805</v>
      </c>
      <c r="G98" s="357">
        <v>10668</v>
      </c>
      <c r="H98" s="357">
        <v>10779</v>
      </c>
      <c r="I98" s="357">
        <v>10767</v>
      </c>
      <c r="J98" s="357">
        <v>10754.2448</v>
      </c>
      <c r="K98" s="357">
        <v>10754.2448</v>
      </c>
      <c r="L98" s="357">
        <v>10754</v>
      </c>
      <c r="M98" s="357">
        <v>10754</v>
      </c>
      <c r="N98" s="357">
        <v>10335</v>
      </c>
      <c r="O98" s="357">
        <v>39582</v>
      </c>
      <c r="P98" s="357">
        <v>39582</v>
      </c>
      <c r="Q98" s="357">
        <v>39582</v>
      </c>
      <c r="R98" s="357">
        <v>39582.308799999999</v>
      </c>
      <c r="S98" s="357">
        <v>39582</v>
      </c>
      <c r="T98" s="357">
        <v>39582</v>
      </c>
      <c r="U98" s="357">
        <v>39582</v>
      </c>
      <c r="X98" s="500"/>
    </row>
    <row r="99" spans="1:24">
      <c r="A99" s="349">
        <v>70</v>
      </c>
      <c r="B99" s="353" t="s">
        <v>89</v>
      </c>
      <c r="C99" s="349" t="s">
        <v>365</v>
      </c>
      <c r="D99" s="357">
        <v>11138</v>
      </c>
      <c r="E99" s="357">
        <v>11200</v>
      </c>
      <c r="F99" s="357">
        <v>11089</v>
      </c>
      <c r="G99" s="357">
        <v>10977</v>
      </c>
      <c r="H99" s="357">
        <v>11039</v>
      </c>
      <c r="I99" s="357">
        <v>11051</v>
      </c>
      <c r="J99" s="357">
        <v>11088.641599999999</v>
      </c>
      <c r="K99" s="357">
        <v>11088.641599999999</v>
      </c>
      <c r="L99" s="357">
        <v>11089</v>
      </c>
      <c r="M99" s="357">
        <v>11089</v>
      </c>
      <c r="N99" s="357">
        <v>10594</v>
      </c>
      <c r="O99" s="357">
        <v>42363</v>
      </c>
      <c r="P99" s="357">
        <v>42363</v>
      </c>
      <c r="Q99" s="357">
        <v>42363</v>
      </c>
      <c r="R99" s="357">
        <v>42363.484799999998</v>
      </c>
      <c r="S99" s="357">
        <v>42363</v>
      </c>
      <c r="T99" s="357">
        <v>42363</v>
      </c>
      <c r="U99" s="357">
        <v>42363</v>
      </c>
      <c r="X99" s="500"/>
    </row>
    <row r="100" spans="1:24">
      <c r="A100" s="349">
        <v>71</v>
      </c>
      <c r="B100" s="353" t="s">
        <v>90</v>
      </c>
      <c r="C100" s="349" t="s">
        <v>365</v>
      </c>
      <c r="D100" s="357">
        <v>21819</v>
      </c>
      <c r="E100" s="357">
        <v>21843</v>
      </c>
      <c r="F100" s="357">
        <v>21645</v>
      </c>
      <c r="G100" s="357">
        <v>21472</v>
      </c>
      <c r="H100" s="357">
        <v>21596</v>
      </c>
      <c r="I100" s="357">
        <v>21522</v>
      </c>
      <c r="J100" s="357">
        <v>21633.068800000001</v>
      </c>
      <c r="K100" s="357">
        <v>21633.068800000001</v>
      </c>
      <c r="L100" s="357">
        <v>21633</v>
      </c>
      <c r="M100" s="357">
        <v>21633</v>
      </c>
      <c r="N100" s="357">
        <v>20495</v>
      </c>
      <c r="O100" s="357">
        <v>80166</v>
      </c>
      <c r="P100" s="357">
        <v>80166</v>
      </c>
      <c r="Q100" s="357">
        <v>80166</v>
      </c>
      <c r="R100" s="357">
        <v>80165.622399999993</v>
      </c>
      <c r="S100" s="357">
        <v>80166</v>
      </c>
      <c r="T100" s="357">
        <v>80166</v>
      </c>
      <c r="U100" s="357">
        <v>80166</v>
      </c>
      <c r="X100" s="500"/>
    </row>
    <row r="101" spans="1:24">
      <c r="A101" s="349">
        <v>72</v>
      </c>
      <c r="B101" s="353" t="s">
        <v>91</v>
      </c>
      <c r="C101" s="349" t="s">
        <v>365</v>
      </c>
      <c r="D101" s="357">
        <v>4920</v>
      </c>
      <c r="E101" s="357">
        <v>4945</v>
      </c>
      <c r="F101" s="357">
        <v>4883</v>
      </c>
      <c r="G101" s="357">
        <v>4859</v>
      </c>
      <c r="H101" s="357">
        <v>4883</v>
      </c>
      <c r="I101" s="357">
        <v>4883</v>
      </c>
      <c r="J101" s="357">
        <v>4895.7439999999997</v>
      </c>
      <c r="K101" s="357">
        <v>4895.7439999999997</v>
      </c>
      <c r="L101" s="357">
        <v>4896</v>
      </c>
      <c r="M101" s="357">
        <v>4896</v>
      </c>
      <c r="N101" s="357">
        <v>4698</v>
      </c>
      <c r="O101" s="357">
        <v>17875</v>
      </c>
      <c r="P101" s="357">
        <v>17875</v>
      </c>
      <c r="Q101" s="357">
        <v>17875</v>
      </c>
      <c r="R101" s="357">
        <v>17874.929599999999</v>
      </c>
      <c r="S101" s="357">
        <v>17875</v>
      </c>
      <c r="T101" s="357">
        <v>17875</v>
      </c>
      <c r="U101" s="357">
        <v>17875</v>
      </c>
      <c r="X101" s="500"/>
    </row>
    <row r="102" spans="1:24">
      <c r="A102" s="349">
        <v>73</v>
      </c>
      <c r="B102" s="353" t="s">
        <v>92</v>
      </c>
      <c r="C102" s="349" t="s">
        <v>365</v>
      </c>
      <c r="D102" s="357">
        <v>24328</v>
      </c>
      <c r="E102" s="357">
        <v>24279</v>
      </c>
      <c r="F102" s="357">
        <v>24192</v>
      </c>
      <c r="G102" s="357">
        <v>23883</v>
      </c>
      <c r="H102" s="357">
        <v>24167</v>
      </c>
      <c r="I102" s="357">
        <v>24142</v>
      </c>
      <c r="J102" s="357">
        <v>24142.137600000002</v>
      </c>
      <c r="K102" s="357">
        <v>24142.137600000002</v>
      </c>
      <c r="L102" s="357">
        <v>24142</v>
      </c>
      <c r="M102" s="357">
        <v>24142</v>
      </c>
      <c r="N102" s="357">
        <v>23006</v>
      </c>
      <c r="O102" s="357">
        <v>91131</v>
      </c>
      <c r="P102" s="357">
        <v>91131</v>
      </c>
      <c r="Q102" s="357">
        <v>91131</v>
      </c>
      <c r="R102" s="357">
        <v>91130.777600000001</v>
      </c>
      <c r="S102" s="357">
        <v>91131</v>
      </c>
      <c r="T102" s="357">
        <v>91131</v>
      </c>
      <c r="U102" s="357">
        <v>91131</v>
      </c>
      <c r="X102" s="500"/>
    </row>
    <row r="103" spans="1:24">
      <c r="A103" s="349">
        <v>74</v>
      </c>
      <c r="B103" s="353" t="s">
        <v>93</v>
      </c>
      <c r="C103" s="349" t="s">
        <v>365</v>
      </c>
      <c r="D103" s="357">
        <v>15650</v>
      </c>
      <c r="E103" s="357">
        <v>15712</v>
      </c>
      <c r="F103" s="357">
        <v>15588</v>
      </c>
      <c r="G103" s="357">
        <v>15390</v>
      </c>
      <c r="H103" s="357">
        <v>15551</v>
      </c>
      <c r="I103" s="357">
        <v>15564</v>
      </c>
      <c r="J103" s="357">
        <v>15526.502399999999</v>
      </c>
      <c r="K103" s="357">
        <v>15526.502399999999</v>
      </c>
      <c r="L103" s="357">
        <v>15527</v>
      </c>
      <c r="M103" s="357">
        <v>15527</v>
      </c>
      <c r="N103" s="357">
        <v>14822</v>
      </c>
      <c r="O103" s="357">
        <v>59707</v>
      </c>
      <c r="P103" s="357">
        <v>59707</v>
      </c>
      <c r="Q103" s="357">
        <v>59707</v>
      </c>
      <c r="R103" s="357">
        <v>59707.313600000001</v>
      </c>
      <c r="S103" s="357">
        <v>59707</v>
      </c>
      <c r="T103" s="357">
        <v>59707</v>
      </c>
      <c r="U103" s="357">
        <v>59707</v>
      </c>
      <c r="X103" s="500"/>
    </row>
    <row r="104" spans="1:24">
      <c r="A104" s="349">
        <v>75</v>
      </c>
      <c r="B104" s="353" t="s">
        <v>94</v>
      </c>
      <c r="C104" s="349" t="s">
        <v>365</v>
      </c>
      <c r="D104" s="357">
        <v>2113</v>
      </c>
      <c r="E104" s="357">
        <v>2113</v>
      </c>
      <c r="F104" s="357">
        <v>2089</v>
      </c>
      <c r="G104" s="357">
        <v>2064</v>
      </c>
      <c r="H104" s="357">
        <v>2089</v>
      </c>
      <c r="I104" s="357">
        <v>2076</v>
      </c>
      <c r="J104" s="357">
        <v>2089.4335999999998</v>
      </c>
      <c r="K104" s="357">
        <v>2089.4335999999998</v>
      </c>
      <c r="L104" s="357">
        <v>2089</v>
      </c>
      <c r="M104" s="357">
        <v>2089</v>
      </c>
      <c r="N104" s="357">
        <v>1990</v>
      </c>
      <c r="O104" s="357">
        <v>7652</v>
      </c>
      <c r="P104" s="357">
        <v>7652</v>
      </c>
      <c r="Q104" s="357">
        <v>7652</v>
      </c>
      <c r="R104" s="357">
        <v>7651.7856000000002</v>
      </c>
      <c r="S104" s="357">
        <v>7652</v>
      </c>
      <c r="T104" s="357">
        <v>7652</v>
      </c>
      <c r="U104" s="357">
        <v>7652</v>
      </c>
      <c r="X104" s="500"/>
    </row>
    <row r="105" spans="1:24">
      <c r="A105" s="349">
        <v>76</v>
      </c>
      <c r="B105" s="353" t="s">
        <v>95</v>
      </c>
      <c r="C105" s="349" t="s">
        <v>365</v>
      </c>
      <c r="D105" s="357">
        <v>1236</v>
      </c>
      <c r="E105" s="357">
        <v>1236</v>
      </c>
      <c r="F105" s="357">
        <v>1236</v>
      </c>
      <c r="G105" s="357">
        <v>1212</v>
      </c>
      <c r="H105" s="357">
        <v>1236</v>
      </c>
      <c r="I105" s="357">
        <v>1236</v>
      </c>
      <c r="J105" s="357">
        <v>1223.9359999999999</v>
      </c>
      <c r="K105" s="357">
        <v>1223.9359999999999</v>
      </c>
      <c r="L105" s="357">
        <v>1224</v>
      </c>
      <c r="M105" s="357">
        <v>1224</v>
      </c>
      <c r="N105" s="357">
        <v>1162</v>
      </c>
      <c r="O105" s="357">
        <v>4698</v>
      </c>
      <c r="P105" s="357">
        <v>4698</v>
      </c>
      <c r="Q105" s="357">
        <v>4698</v>
      </c>
      <c r="R105" s="357">
        <v>4697.9471999999996</v>
      </c>
      <c r="S105" s="357">
        <v>4698</v>
      </c>
      <c r="T105" s="357">
        <v>4698</v>
      </c>
      <c r="U105" s="357">
        <v>4698</v>
      </c>
      <c r="X105" s="500"/>
    </row>
    <row r="106" spans="1:24">
      <c r="A106" s="349">
        <v>77</v>
      </c>
      <c r="B106" s="353" t="s">
        <v>96</v>
      </c>
      <c r="C106" s="349" t="s">
        <v>365</v>
      </c>
      <c r="D106" s="357">
        <v>507</v>
      </c>
      <c r="E106" s="357">
        <v>507</v>
      </c>
      <c r="F106" s="357">
        <v>507</v>
      </c>
      <c r="G106" s="357">
        <v>494</v>
      </c>
      <c r="H106" s="357">
        <v>507</v>
      </c>
      <c r="I106" s="357">
        <v>507</v>
      </c>
      <c r="J106" s="357">
        <v>507.05919999999998</v>
      </c>
      <c r="K106" s="357">
        <v>507.05919999999998</v>
      </c>
      <c r="L106" s="357">
        <v>507</v>
      </c>
      <c r="M106" s="357">
        <v>507</v>
      </c>
      <c r="N106" s="357">
        <v>482</v>
      </c>
      <c r="O106" s="357">
        <v>1867</v>
      </c>
      <c r="P106" s="357">
        <v>1867</v>
      </c>
      <c r="Q106" s="357">
        <v>1867</v>
      </c>
      <c r="R106" s="357">
        <v>1866.5024000000001</v>
      </c>
      <c r="S106" s="357">
        <v>1867</v>
      </c>
      <c r="T106" s="357">
        <v>1867</v>
      </c>
      <c r="U106" s="357">
        <v>1867</v>
      </c>
      <c r="X106" s="500"/>
    </row>
    <row r="107" spans="1:24">
      <c r="A107" s="349">
        <v>78</v>
      </c>
      <c r="B107" s="353" t="s">
        <v>97</v>
      </c>
      <c r="C107" s="349" t="s">
        <v>365</v>
      </c>
      <c r="D107" s="357">
        <v>1124</v>
      </c>
      <c r="E107" s="357">
        <v>1138</v>
      </c>
      <c r="F107" s="357">
        <v>1112</v>
      </c>
      <c r="G107" s="357">
        <v>1112</v>
      </c>
      <c r="H107" s="357">
        <v>1124</v>
      </c>
      <c r="I107" s="357">
        <v>1124</v>
      </c>
      <c r="J107" s="357">
        <v>1124.4911999999999</v>
      </c>
      <c r="K107" s="357">
        <v>1124.4911999999999</v>
      </c>
      <c r="L107" s="357">
        <v>1124</v>
      </c>
      <c r="M107" s="357">
        <v>1124</v>
      </c>
      <c r="N107" s="357">
        <v>1063</v>
      </c>
      <c r="O107" s="357">
        <v>4265</v>
      </c>
      <c r="P107" s="357">
        <v>4265</v>
      </c>
      <c r="Q107" s="357">
        <v>4265</v>
      </c>
      <c r="R107" s="357">
        <v>4265.1984000000002</v>
      </c>
      <c r="S107" s="357">
        <v>4265</v>
      </c>
      <c r="T107" s="357">
        <v>4265</v>
      </c>
      <c r="U107" s="357">
        <v>4265</v>
      </c>
      <c r="X107" s="500"/>
    </row>
    <row r="108" spans="1:24">
      <c r="A108" s="349">
        <v>79</v>
      </c>
      <c r="B108" s="353" t="s">
        <v>98</v>
      </c>
      <c r="C108" s="349" t="s">
        <v>365</v>
      </c>
      <c r="D108" s="357">
        <v>766</v>
      </c>
      <c r="E108" s="357">
        <v>766</v>
      </c>
      <c r="F108" s="357">
        <v>766</v>
      </c>
      <c r="G108" s="357">
        <v>754</v>
      </c>
      <c r="H108" s="357">
        <v>766</v>
      </c>
      <c r="I108" s="357">
        <v>766</v>
      </c>
      <c r="J108" s="357">
        <v>766.05279999999993</v>
      </c>
      <c r="K108" s="357">
        <v>766.05279999999993</v>
      </c>
      <c r="L108" s="357">
        <v>766</v>
      </c>
      <c r="M108" s="357">
        <v>766</v>
      </c>
      <c r="N108" s="357">
        <v>742</v>
      </c>
      <c r="O108" s="357">
        <v>2881</v>
      </c>
      <c r="P108" s="357">
        <v>2881</v>
      </c>
      <c r="Q108" s="357">
        <v>2881</v>
      </c>
      <c r="R108" s="357">
        <v>2880.6208000000001</v>
      </c>
      <c r="S108" s="357">
        <v>2881</v>
      </c>
      <c r="T108" s="357">
        <v>2881</v>
      </c>
      <c r="U108" s="357">
        <v>2881</v>
      </c>
      <c r="X108" s="500"/>
    </row>
    <row r="109" spans="1:24">
      <c r="A109" s="349">
        <v>80</v>
      </c>
      <c r="B109" s="353" t="s">
        <v>99</v>
      </c>
      <c r="C109" s="349" t="s">
        <v>365</v>
      </c>
      <c r="D109" s="357">
        <v>1298</v>
      </c>
      <c r="E109" s="357">
        <v>1310</v>
      </c>
      <c r="F109" s="357">
        <v>1285</v>
      </c>
      <c r="G109" s="357">
        <v>1273</v>
      </c>
      <c r="H109" s="357">
        <v>1285</v>
      </c>
      <c r="I109" s="357">
        <v>1298</v>
      </c>
      <c r="J109" s="357">
        <v>1298.2464</v>
      </c>
      <c r="K109" s="357">
        <v>1298.2464</v>
      </c>
      <c r="L109" s="357">
        <v>1298</v>
      </c>
      <c r="M109" s="357">
        <v>1298</v>
      </c>
      <c r="N109" s="357">
        <v>1224</v>
      </c>
      <c r="O109" s="357">
        <v>4845</v>
      </c>
      <c r="P109" s="357">
        <v>4845</v>
      </c>
      <c r="Q109" s="357">
        <v>4845</v>
      </c>
      <c r="R109" s="357">
        <v>4845.4751999999999</v>
      </c>
      <c r="S109" s="357">
        <v>4845</v>
      </c>
      <c r="T109" s="357">
        <v>4845</v>
      </c>
      <c r="U109" s="357">
        <v>4845</v>
      </c>
      <c r="X109" s="500"/>
    </row>
    <row r="110" spans="1:24">
      <c r="A110" s="349">
        <v>81</v>
      </c>
      <c r="B110" s="353" t="s">
        <v>100</v>
      </c>
      <c r="C110" s="349" t="s">
        <v>365</v>
      </c>
      <c r="D110" s="357">
        <v>717</v>
      </c>
      <c r="E110" s="357">
        <v>717</v>
      </c>
      <c r="F110" s="357">
        <v>705</v>
      </c>
      <c r="G110" s="357">
        <v>705</v>
      </c>
      <c r="H110" s="357">
        <v>705</v>
      </c>
      <c r="I110" s="357">
        <v>705</v>
      </c>
      <c r="J110" s="357">
        <v>704.85599999999999</v>
      </c>
      <c r="K110" s="357">
        <v>704.85599999999999</v>
      </c>
      <c r="L110" s="357">
        <v>705</v>
      </c>
      <c r="M110" s="357">
        <v>705</v>
      </c>
      <c r="N110" s="357">
        <v>680</v>
      </c>
      <c r="O110" s="357">
        <v>2769</v>
      </c>
      <c r="P110" s="357">
        <v>2769</v>
      </c>
      <c r="Q110" s="357">
        <v>2769</v>
      </c>
      <c r="R110" s="357">
        <v>2769.1552000000001</v>
      </c>
      <c r="S110" s="357">
        <v>2769</v>
      </c>
      <c r="T110" s="357">
        <v>2769</v>
      </c>
      <c r="U110" s="357">
        <v>2769</v>
      </c>
      <c r="X110" s="500"/>
    </row>
    <row r="111" spans="1:24">
      <c r="A111" s="349">
        <v>82</v>
      </c>
      <c r="B111" s="353" t="s">
        <v>101</v>
      </c>
      <c r="C111" s="349" t="s">
        <v>365</v>
      </c>
      <c r="D111" s="357">
        <v>5167</v>
      </c>
      <c r="E111" s="357">
        <v>5192</v>
      </c>
      <c r="F111" s="357">
        <v>5143</v>
      </c>
      <c r="G111" s="357">
        <v>5080</v>
      </c>
      <c r="H111" s="357">
        <v>5143</v>
      </c>
      <c r="I111" s="357">
        <v>5143</v>
      </c>
      <c r="J111" s="357">
        <v>5129.6031999999996</v>
      </c>
      <c r="K111" s="357">
        <v>5129.6031999999996</v>
      </c>
      <c r="L111" s="357">
        <v>5130</v>
      </c>
      <c r="M111" s="357">
        <v>5130</v>
      </c>
      <c r="N111" s="357">
        <v>4908</v>
      </c>
      <c r="O111" s="357">
        <v>19432</v>
      </c>
      <c r="P111" s="357">
        <v>19432</v>
      </c>
      <c r="Q111" s="357">
        <v>19432</v>
      </c>
      <c r="R111" s="357">
        <v>19432.169600000001</v>
      </c>
      <c r="S111" s="357">
        <v>19432</v>
      </c>
      <c r="T111" s="357">
        <v>19432</v>
      </c>
      <c r="U111" s="357">
        <v>19432</v>
      </c>
      <c r="X111" s="500"/>
    </row>
    <row r="112" spans="1:24">
      <c r="A112" s="349">
        <v>83</v>
      </c>
      <c r="B112" s="353" t="s">
        <v>102</v>
      </c>
      <c r="C112" s="349" t="s">
        <v>365</v>
      </c>
      <c r="D112" s="357">
        <v>5303</v>
      </c>
      <c r="E112" s="357">
        <v>5341</v>
      </c>
      <c r="F112" s="357">
        <v>5291</v>
      </c>
      <c r="G112" s="357">
        <v>5229</v>
      </c>
      <c r="H112" s="357">
        <v>5291</v>
      </c>
      <c r="I112" s="357">
        <v>5254</v>
      </c>
      <c r="J112" s="357">
        <v>5266.2031999999999</v>
      </c>
      <c r="K112" s="357">
        <v>5266.2031999999999</v>
      </c>
      <c r="L112" s="357">
        <v>5266</v>
      </c>
      <c r="M112" s="357">
        <v>5266</v>
      </c>
      <c r="N112" s="357">
        <v>5006</v>
      </c>
      <c r="O112" s="357">
        <v>20830</v>
      </c>
      <c r="P112" s="357">
        <v>20830</v>
      </c>
      <c r="Q112" s="357">
        <v>20830</v>
      </c>
      <c r="R112" s="357">
        <v>20829.860799999999</v>
      </c>
      <c r="S112" s="357">
        <v>20830</v>
      </c>
      <c r="T112" s="357">
        <v>20830</v>
      </c>
      <c r="U112" s="357">
        <v>20830</v>
      </c>
      <c r="X112" s="500"/>
    </row>
    <row r="113" spans="1:24">
      <c r="A113" s="349">
        <v>84</v>
      </c>
      <c r="B113" s="353" t="s">
        <v>103</v>
      </c>
      <c r="C113" s="349" t="s">
        <v>365</v>
      </c>
      <c r="D113" s="357">
        <v>7268</v>
      </c>
      <c r="E113" s="357">
        <v>7268</v>
      </c>
      <c r="F113" s="357">
        <v>7170</v>
      </c>
      <c r="G113" s="357">
        <v>7158</v>
      </c>
      <c r="H113" s="357">
        <v>7207</v>
      </c>
      <c r="I113" s="357">
        <v>7170</v>
      </c>
      <c r="J113" s="357">
        <v>7194.9952000000003</v>
      </c>
      <c r="K113" s="357">
        <v>7194.9952000000003</v>
      </c>
      <c r="L113" s="357">
        <v>7195</v>
      </c>
      <c r="M113" s="357">
        <v>7195</v>
      </c>
      <c r="N113" s="357">
        <v>6837</v>
      </c>
      <c r="O113" s="357">
        <v>27221</v>
      </c>
      <c r="P113" s="357">
        <v>27221</v>
      </c>
      <c r="Q113" s="357">
        <v>27221</v>
      </c>
      <c r="R113" s="357">
        <v>27220.555199999999</v>
      </c>
      <c r="S113" s="357">
        <v>27221</v>
      </c>
      <c r="T113" s="357">
        <v>27221</v>
      </c>
      <c r="U113" s="357">
        <v>27221</v>
      </c>
      <c r="X113" s="500"/>
    </row>
    <row r="114" spans="1:24">
      <c r="A114" s="349">
        <v>85</v>
      </c>
      <c r="B114" s="353" t="s">
        <v>104</v>
      </c>
      <c r="C114" s="349" t="s">
        <v>365</v>
      </c>
      <c r="D114" s="357">
        <v>7256</v>
      </c>
      <c r="E114" s="357">
        <v>7268</v>
      </c>
      <c r="F114" s="357">
        <v>7207</v>
      </c>
      <c r="G114" s="357">
        <v>7108</v>
      </c>
      <c r="H114" s="357">
        <v>7182</v>
      </c>
      <c r="I114" s="357">
        <v>7170</v>
      </c>
      <c r="J114" s="357">
        <v>7194.9952000000003</v>
      </c>
      <c r="K114" s="357">
        <v>7194.9952000000003</v>
      </c>
      <c r="L114" s="357">
        <v>7195</v>
      </c>
      <c r="M114" s="357">
        <v>7195</v>
      </c>
      <c r="N114" s="357">
        <v>6823</v>
      </c>
      <c r="O114" s="357">
        <v>26639</v>
      </c>
      <c r="P114" s="357">
        <v>26639</v>
      </c>
      <c r="Q114" s="357">
        <v>26639</v>
      </c>
      <c r="R114" s="357">
        <v>26639.185600000001</v>
      </c>
      <c r="S114" s="357">
        <v>26639</v>
      </c>
      <c r="T114" s="357">
        <v>26639</v>
      </c>
      <c r="U114" s="357">
        <v>26639</v>
      </c>
      <c r="X114" s="500"/>
    </row>
    <row r="115" spans="1:24">
      <c r="A115" s="349">
        <v>86</v>
      </c>
      <c r="B115" s="353" t="s">
        <v>105</v>
      </c>
      <c r="C115" s="349" t="s">
        <v>365</v>
      </c>
      <c r="D115" s="357">
        <v>12820</v>
      </c>
      <c r="E115" s="357">
        <v>12832</v>
      </c>
      <c r="F115" s="357">
        <v>12671</v>
      </c>
      <c r="G115" s="357">
        <v>12585</v>
      </c>
      <c r="H115" s="357">
        <v>12695</v>
      </c>
      <c r="I115" s="357">
        <v>12683</v>
      </c>
      <c r="J115" s="357">
        <v>12732.212799999999</v>
      </c>
      <c r="K115" s="357">
        <v>12732.212799999999</v>
      </c>
      <c r="L115" s="357">
        <v>12732</v>
      </c>
      <c r="M115" s="357">
        <v>12732</v>
      </c>
      <c r="N115" s="357">
        <v>12127</v>
      </c>
      <c r="O115" s="357">
        <v>46357</v>
      </c>
      <c r="P115" s="357">
        <v>46357</v>
      </c>
      <c r="Q115" s="357">
        <v>46357</v>
      </c>
      <c r="R115" s="357">
        <v>46356.576000000001</v>
      </c>
      <c r="S115" s="357">
        <v>46357</v>
      </c>
      <c r="T115" s="357">
        <v>46357</v>
      </c>
      <c r="U115" s="357">
        <v>46357</v>
      </c>
      <c r="X115" s="500"/>
    </row>
    <row r="116" spans="1:24">
      <c r="A116" s="349">
        <v>87</v>
      </c>
      <c r="B116" s="353" t="s">
        <v>106</v>
      </c>
      <c r="C116" s="349" t="s">
        <v>365</v>
      </c>
      <c r="D116" s="357">
        <v>7331</v>
      </c>
      <c r="E116" s="357">
        <v>7305</v>
      </c>
      <c r="F116" s="357">
        <v>7281</v>
      </c>
      <c r="G116" s="357">
        <v>7232</v>
      </c>
      <c r="H116" s="357">
        <v>7244</v>
      </c>
      <c r="I116" s="357">
        <v>7281</v>
      </c>
      <c r="J116" s="357">
        <v>7244.1711999999998</v>
      </c>
      <c r="K116" s="357">
        <v>7244.1711999999998</v>
      </c>
      <c r="L116" s="357">
        <v>7244</v>
      </c>
      <c r="M116" s="357">
        <v>7244</v>
      </c>
      <c r="N116" s="357">
        <v>6923</v>
      </c>
      <c r="O116" s="357">
        <v>27356</v>
      </c>
      <c r="P116" s="357">
        <v>27356</v>
      </c>
      <c r="Q116" s="357">
        <v>27356</v>
      </c>
      <c r="R116" s="357">
        <v>27356.062399999999</v>
      </c>
      <c r="S116" s="357">
        <v>27356</v>
      </c>
      <c r="T116" s="357">
        <v>27356</v>
      </c>
      <c r="U116" s="357">
        <v>27356</v>
      </c>
      <c r="X116" s="500"/>
    </row>
    <row r="117" spans="1:24">
      <c r="A117" s="349">
        <v>88</v>
      </c>
      <c r="B117" s="353" t="s">
        <v>107</v>
      </c>
      <c r="C117" s="349" t="s">
        <v>365</v>
      </c>
      <c r="D117" s="357">
        <v>5278</v>
      </c>
      <c r="E117" s="357">
        <v>5266</v>
      </c>
      <c r="F117" s="357">
        <v>5241</v>
      </c>
      <c r="G117" s="357">
        <v>5192</v>
      </c>
      <c r="H117" s="357">
        <v>5241</v>
      </c>
      <c r="I117" s="357">
        <v>5254</v>
      </c>
      <c r="J117" s="357">
        <v>5229.0479999999998</v>
      </c>
      <c r="K117" s="357">
        <v>5229.0479999999998</v>
      </c>
      <c r="L117" s="357">
        <v>5229</v>
      </c>
      <c r="M117" s="357">
        <v>5229</v>
      </c>
      <c r="N117" s="357">
        <v>5031</v>
      </c>
      <c r="O117" s="357">
        <v>21175</v>
      </c>
      <c r="P117" s="357">
        <v>21175</v>
      </c>
      <c r="Q117" s="357">
        <v>21175</v>
      </c>
      <c r="R117" s="357">
        <v>21175.185600000001</v>
      </c>
      <c r="S117" s="357">
        <v>21175</v>
      </c>
      <c r="T117" s="357">
        <v>21175</v>
      </c>
      <c r="U117" s="357">
        <v>21175</v>
      </c>
      <c r="X117" s="500"/>
    </row>
    <row r="118" spans="1:24">
      <c r="A118" s="349">
        <v>89</v>
      </c>
      <c r="B118" s="353" t="s">
        <v>108</v>
      </c>
      <c r="C118" s="349" t="s">
        <v>365</v>
      </c>
      <c r="D118" s="357">
        <v>3819</v>
      </c>
      <c r="E118" s="357">
        <v>3832</v>
      </c>
      <c r="F118" s="357">
        <v>3782</v>
      </c>
      <c r="G118" s="357">
        <v>3758</v>
      </c>
      <c r="H118" s="357">
        <v>3782</v>
      </c>
      <c r="I118" s="357">
        <v>3770</v>
      </c>
      <c r="J118" s="357">
        <v>3770.16</v>
      </c>
      <c r="K118" s="357">
        <v>3770.16</v>
      </c>
      <c r="L118" s="357">
        <v>3770</v>
      </c>
      <c r="M118" s="357">
        <v>3770</v>
      </c>
      <c r="N118" s="357">
        <v>3610</v>
      </c>
      <c r="O118" s="357">
        <v>14896</v>
      </c>
      <c r="P118" s="357">
        <v>14896</v>
      </c>
      <c r="Q118" s="357">
        <v>14896</v>
      </c>
      <c r="R118" s="357">
        <v>14895.9568</v>
      </c>
      <c r="S118" s="357">
        <v>14896</v>
      </c>
      <c r="T118" s="357">
        <v>14896</v>
      </c>
      <c r="U118" s="357">
        <v>14896</v>
      </c>
      <c r="X118" s="500"/>
    </row>
    <row r="119" spans="1:24">
      <c r="A119" s="349">
        <v>90</v>
      </c>
      <c r="B119" s="353" t="s">
        <v>109</v>
      </c>
      <c r="C119" s="349" t="s">
        <v>365</v>
      </c>
      <c r="D119" s="357">
        <v>17504</v>
      </c>
      <c r="E119" s="357">
        <v>17491</v>
      </c>
      <c r="F119" s="357">
        <v>17418</v>
      </c>
      <c r="G119" s="357">
        <v>17207</v>
      </c>
      <c r="H119" s="357">
        <v>17393</v>
      </c>
      <c r="I119" s="357">
        <v>17467</v>
      </c>
      <c r="J119" s="357">
        <v>17467.315200000001</v>
      </c>
      <c r="K119" s="357">
        <v>17467.315200000001</v>
      </c>
      <c r="L119" s="357">
        <v>17467</v>
      </c>
      <c r="M119" s="357">
        <v>17467</v>
      </c>
      <c r="N119" s="357">
        <v>16602</v>
      </c>
      <c r="O119" s="357">
        <v>68967</v>
      </c>
      <c r="P119" s="357">
        <v>68967</v>
      </c>
      <c r="Q119" s="357">
        <v>68967</v>
      </c>
      <c r="R119" s="357">
        <v>68966.607999999993</v>
      </c>
      <c r="S119" s="357">
        <v>68967</v>
      </c>
      <c r="T119" s="357">
        <v>68967</v>
      </c>
      <c r="U119" s="357">
        <v>68967</v>
      </c>
      <c r="X119" s="500"/>
    </row>
    <row r="120" spans="1:24">
      <c r="A120" s="349">
        <v>91</v>
      </c>
      <c r="B120" s="353" t="s">
        <v>110</v>
      </c>
      <c r="C120" s="349" t="s">
        <v>365</v>
      </c>
      <c r="D120" s="357">
        <v>22461</v>
      </c>
      <c r="E120" s="357">
        <v>22473</v>
      </c>
      <c r="F120" s="357">
        <v>22338</v>
      </c>
      <c r="G120" s="357">
        <v>22140</v>
      </c>
      <c r="H120" s="357">
        <v>22412</v>
      </c>
      <c r="I120" s="357">
        <v>22325</v>
      </c>
      <c r="J120" s="357">
        <v>22375.08</v>
      </c>
      <c r="K120" s="357">
        <v>22375.08</v>
      </c>
      <c r="L120" s="357">
        <v>22375</v>
      </c>
      <c r="M120" s="357">
        <v>22375</v>
      </c>
      <c r="N120" s="357">
        <v>21373</v>
      </c>
      <c r="O120" s="357">
        <v>89425</v>
      </c>
      <c r="P120" s="357">
        <v>89425</v>
      </c>
      <c r="Q120" s="357">
        <v>89425</v>
      </c>
      <c r="R120" s="357">
        <v>89424.916800000006</v>
      </c>
      <c r="S120" s="357">
        <v>89425</v>
      </c>
      <c r="T120" s="357">
        <v>89425</v>
      </c>
      <c r="U120" s="357">
        <v>89425</v>
      </c>
      <c r="X120" s="500"/>
    </row>
    <row r="121" spans="1:24">
      <c r="A121" s="349">
        <v>92</v>
      </c>
      <c r="B121" s="353" t="s">
        <v>111</v>
      </c>
      <c r="C121" s="349" t="s">
        <v>365</v>
      </c>
      <c r="D121" s="357">
        <v>9334</v>
      </c>
      <c r="E121" s="357">
        <v>9308</v>
      </c>
      <c r="F121" s="357">
        <v>9271</v>
      </c>
      <c r="G121" s="357">
        <v>9185</v>
      </c>
      <c r="H121" s="357">
        <v>9246</v>
      </c>
      <c r="I121" s="357">
        <v>9271</v>
      </c>
      <c r="J121" s="357">
        <v>9209.0256000000008</v>
      </c>
      <c r="K121" s="357">
        <v>9209.0256000000008</v>
      </c>
      <c r="L121" s="357">
        <v>9209</v>
      </c>
      <c r="M121" s="357">
        <v>9209</v>
      </c>
      <c r="N121" s="357">
        <v>8789</v>
      </c>
      <c r="O121" s="357">
        <v>35861</v>
      </c>
      <c r="P121" s="357">
        <v>35861</v>
      </c>
      <c r="Q121" s="357">
        <v>35861</v>
      </c>
      <c r="R121" s="357">
        <v>35861.324800000002</v>
      </c>
      <c r="S121" s="357">
        <v>35861</v>
      </c>
      <c r="T121" s="357">
        <v>35861</v>
      </c>
      <c r="U121" s="357">
        <v>35861</v>
      </c>
      <c r="X121" s="500"/>
    </row>
    <row r="122" spans="1:24">
      <c r="A122" s="349">
        <v>93</v>
      </c>
      <c r="B122" s="353" t="s">
        <v>112</v>
      </c>
      <c r="C122" s="349" t="s">
        <v>365</v>
      </c>
      <c r="D122" s="357">
        <v>11571</v>
      </c>
      <c r="E122" s="357">
        <v>11521</v>
      </c>
      <c r="F122" s="357">
        <v>11447</v>
      </c>
      <c r="G122" s="357">
        <v>11324</v>
      </c>
      <c r="H122" s="357">
        <v>11398</v>
      </c>
      <c r="I122" s="357">
        <v>11435</v>
      </c>
      <c r="J122" s="357">
        <v>11409.924800000001</v>
      </c>
      <c r="K122" s="357">
        <v>11409.924800000001</v>
      </c>
      <c r="L122" s="357">
        <v>11410</v>
      </c>
      <c r="M122" s="357">
        <v>11410</v>
      </c>
      <c r="N122" s="357">
        <v>10928</v>
      </c>
      <c r="O122" s="357">
        <v>44861</v>
      </c>
      <c r="P122" s="357">
        <v>44861</v>
      </c>
      <c r="Q122" s="357">
        <v>44861</v>
      </c>
      <c r="R122" s="357">
        <v>44860.532800000001</v>
      </c>
      <c r="S122" s="357">
        <v>44861</v>
      </c>
      <c r="T122" s="357">
        <v>44861</v>
      </c>
      <c r="U122" s="357">
        <v>44861</v>
      </c>
      <c r="X122" s="500"/>
    </row>
    <row r="123" spans="1:24">
      <c r="A123" s="349">
        <v>94</v>
      </c>
      <c r="B123" s="353" t="s">
        <v>113</v>
      </c>
      <c r="C123" s="349" t="s">
        <v>365</v>
      </c>
      <c r="D123" s="357">
        <v>13141</v>
      </c>
      <c r="E123" s="357">
        <v>13128</v>
      </c>
      <c r="F123" s="357">
        <v>12992</v>
      </c>
      <c r="G123" s="357">
        <v>12893</v>
      </c>
      <c r="H123" s="357">
        <v>13041</v>
      </c>
      <c r="I123" s="357">
        <v>13017</v>
      </c>
      <c r="J123" s="357">
        <v>13017.4336</v>
      </c>
      <c r="K123" s="357">
        <v>13017.4336</v>
      </c>
      <c r="L123" s="357">
        <v>13017</v>
      </c>
      <c r="M123" s="357">
        <v>13017</v>
      </c>
      <c r="N123" s="357">
        <v>12387</v>
      </c>
      <c r="O123" s="357">
        <v>49163</v>
      </c>
      <c r="P123" s="357">
        <v>49163</v>
      </c>
      <c r="Q123" s="357">
        <v>49163</v>
      </c>
      <c r="R123" s="357">
        <v>49162.886400000003</v>
      </c>
      <c r="S123" s="357">
        <v>49163</v>
      </c>
      <c r="T123" s="357">
        <v>49163</v>
      </c>
      <c r="U123" s="357">
        <v>49163</v>
      </c>
      <c r="X123" s="500"/>
    </row>
    <row r="124" spans="1:24">
      <c r="A124" s="349">
        <v>95</v>
      </c>
      <c r="B124" s="353" t="s">
        <v>114</v>
      </c>
      <c r="C124" s="349" t="s">
        <v>365</v>
      </c>
      <c r="D124" s="357">
        <v>19124</v>
      </c>
      <c r="E124" s="357">
        <v>19161</v>
      </c>
      <c r="F124" s="357">
        <v>18975</v>
      </c>
      <c r="G124" s="357">
        <v>18766</v>
      </c>
      <c r="H124" s="357">
        <v>18938</v>
      </c>
      <c r="I124" s="357">
        <v>18950</v>
      </c>
      <c r="J124" s="357">
        <v>18926.2032</v>
      </c>
      <c r="K124" s="357">
        <v>18926.2032</v>
      </c>
      <c r="L124" s="357">
        <v>18926</v>
      </c>
      <c r="M124" s="357">
        <v>18926</v>
      </c>
      <c r="N124" s="357">
        <v>18184</v>
      </c>
      <c r="O124" s="357">
        <v>73207</v>
      </c>
      <c r="P124" s="357">
        <v>73207</v>
      </c>
      <c r="Q124" s="357">
        <v>73207</v>
      </c>
      <c r="R124" s="357">
        <v>73206.672000000006</v>
      </c>
      <c r="S124" s="357">
        <v>73207</v>
      </c>
      <c r="T124" s="357">
        <v>73207</v>
      </c>
      <c r="U124" s="357">
        <v>73207</v>
      </c>
      <c r="X124" s="500"/>
    </row>
    <row r="125" spans="1:24">
      <c r="A125" s="349">
        <v>96</v>
      </c>
      <c r="B125" s="353" t="s">
        <v>115</v>
      </c>
      <c r="C125" s="349" t="s">
        <v>365</v>
      </c>
      <c r="D125" s="357">
        <v>10829</v>
      </c>
      <c r="E125" s="357">
        <v>10791</v>
      </c>
      <c r="F125" s="357">
        <v>10742</v>
      </c>
      <c r="G125" s="357">
        <v>10644</v>
      </c>
      <c r="H125" s="357">
        <v>10681</v>
      </c>
      <c r="I125" s="357">
        <v>10681</v>
      </c>
      <c r="J125" s="357">
        <v>10705.068799999999</v>
      </c>
      <c r="K125" s="357">
        <v>10705.068799999999</v>
      </c>
      <c r="L125" s="357">
        <v>10705</v>
      </c>
      <c r="M125" s="357">
        <v>10705</v>
      </c>
      <c r="N125" s="357">
        <v>10248</v>
      </c>
      <c r="O125" s="357">
        <v>42735</v>
      </c>
      <c r="P125" s="357">
        <v>42735</v>
      </c>
      <c r="Q125" s="357">
        <v>42735</v>
      </c>
      <c r="R125" s="357">
        <v>42735.036800000002</v>
      </c>
      <c r="S125" s="357">
        <v>42735</v>
      </c>
      <c r="T125" s="357">
        <v>42735</v>
      </c>
      <c r="U125" s="357">
        <v>42735</v>
      </c>
      <c r="X125" s="500"/>
    </row>
    <row r="126" spans="1:24">
      <c r="A126" s="349">
        <v>97</v>
      </c>
      <c r="B126" s="353" t="s">
        <v>116</v>
      </c>
      <c r="C126" s="349" t="s">
        <v>365</v>
      </c>
      <c r="D126" s="357">
        <v>5254</v>
      </c>
      <c r="E126" s="357">
        <v>5266</v>
      </c>
      <c r="F126" s="357">
        <v>5217</v>
      </c>
      <c r="G126" s="357">
        <v>5167</v>
      </c>
      <c r="H126" s="357">
        <v>5217</v>
      </c>
      <c r="I126" s="357">
        <v>5229</v>
      </c>
      <c r="J126" s="357">
        <v>5217.0272000000004</v>
      </c>
      <c r="K126" s="357">
        <v>5217.0272000000004</v>
      </c>
      <c r="L126" s="357">
        <v>5217</v>
      </c>
      <c r="M126" s="357">
        <v>5217</v>
      </c>
      <c r="N126" s="357">
        <v>4994</v>
      </c>
      <c r="O126" s="357">
        <v>21065</v>
      </c>
      <c r="P126" s="357">
        <v>21065</v>
      </c>
      <c r="Q126" s="357">
        <v>21065</v>
      </c>
      <c r="R126" s="357">
        <v>21064.8128</v>
      </c>
      <c r="S126" s="357">
        <v>21065</v>
      </c>
      <c r="T126" s="357">
        <v>21065</v>
      </c>
      <c r="U126" s="357">
        <v>21065</v>
      </c>
      <c r="X126" s="500"/>
    </row>
    <row r="127" spans="1:24">
      <c r="A127" s="349">
        <v>98</v>
      </c>
      <c r="B127" s="353" t="s">
        <v>117</v>
      </c>
      <c r="C127" s="349" t="s">
        <v>365</v>
      </c>
      <c r="D127" s="357">
        <v>7738</v>
      </c>
      <c r="E127" s="357">
        <v>7751</v>
      </c>
      <c r="F127" s="357">
        <v>7689</v>
      </c>
      <c r="G127" s="357">
        <v>7628</v>
      </c>
      <c r="H127" s="357">
        <v>7689</v>
      </c>
      <c r="I127" s="357">
        <v>7640</v>
      </c>
      <c r="J127" s="357">
        <v>7688.9408000000003</v>
      </c>
      <c r="K127" s="357">
        <v>7688.9408000000003</v>
      </c>
      <c r="L127" s="357">
        <v>7689</v>
      </c>
      <c r="M127" s="357">
        <v>7689</v>
      </c>
      <c r="N127" s="357">
        <v>7343</v>
      </c>
      <c r="O127" s="357">
        <v>30842</v>
      </c>
      <c r="P127" s="357">
        <v>30842</v>
      </c>
      <c r="Q127" s="357">
        <v>30842</v>
      </c>
      <c r="R127" s="357">
        <v>30842.094400000002</v>
      </c>
      <c r="S127" s="357">
        <v>30842</v>
      </c>
      <c r="T127" s="357">
        <v>30842</v>
      </c>
      <c r="U127" s="357">
        <v>30842</v>
      </c>
      <c r="X127" s="500"/>
    </row>
    <row r="128" spans="1:24">
      <c r="A128" s="349">
        <v>99</v>
      </c>
      <c r="B128" s="353" t="s">
        <v>118</v>
      </c>
      <c r="C128" s="349" t="s">
        <v>365</v>
      </c>
      <c r="D128" s="357">
        <v>30373</v>
      </c>
      <c r="E128" s="357">
        <v>30472</v>
      </c>
      <c r="F128" s="357">
        <v>30138</v>
      </c>
      <c r="G128" s="357">
        <v>29990</v>
      </c>
      <c r="H128" s="357">
        <v>30138</v>
      </c>
      <c r="I128" s="357">
        <v>30138</v>
      </c>
      <c r="J128" s="357">
        <v>30162.372800000001</v>
      </c>
      <c r="K128" s="357">
        <v>30162.372800000001</v>
      </c>
      <c r="L128" s="357">
        <v>30162</v>
      </c>
      <c r="M128" s="357">
        <v>30162</v>
      </c>
      <c r="N128" s="357">
        <v>29087</v>
      </c>
      <c r="O128" s="357">
        <v>114482</v>
      </c>
      <c r="P128" s="357">
        <v>114482</v>
      </c>
      <c r="Q128" s="357">
        <v>114482</v>
      </c>
      <c r="R128" s="357">
        <v>114481.728</v>
      </c>
      <c r="S128" s="357">
        <v>114482</v>
      </c>
      <c r="T128" s="357">
        <v>114482</v>
      </c>
      <c r="U128" s="357">
        <v>114482</v>
      </c>
      <c r="X128" s="500"/>
    </row>
    <row r="129" spans="1:24">
      <c r="A129" s="349">
        <v>100</v>
      </c>
      <c r="B129" s="353" t="s">
        <v>119</v>
      </c>
      <c r="C129" s="349" t="s">
        <v>365</v>
      </c>
      <c r="D129" s="357">
        <v>30447</v>
      </c>
      <c r="E129" s="357">
        <v>30521</v>
      </c>
      <c r="F129" s="357">
        <v>30274</v>
      </c>
      <c r="G129" s="357">
        <v>30039</v>
      </c>
      <c r="H129" s="357">
        <v>30175</v>
      </c>
      <c r="I129" s="357">
        <v>30274</v>
      </c>
      <c r="J129" s="357">
        <v>30348.148799999999</v>
      </c>
      <c r="K129" s="357">
        <v>30348.148799999999</v>
      </c>
      <c r="L129" s="357">
        <v>30348</v>
      </c>
      <c r="M129" s="357">
        <v>30348</v>
      </c>
      <c r="N129" s="357">
        <v>28914</v>
      </c>
      <c r="O129" s="357">
        <v>113976</v>
      </c>
      <c r="P129" s="357">
        <v>113976</v>
      </c>
      <c r="Q129" s="357">
        <v>113976</v>
      </c>
      <c r="R129" s="357">
        <v>113975.7616</v>
      </c>
      <c r="S129" s="357">
        <v>113976</v>
      </c>
      <c r="T129" s="357">
        <v>113976</v>
      </c>
      <c r="U129" s="357">
        <v>113976</v>
      </c>
      <c r="X129" s="500"/>
    </row>
    <row r="130" spans="1:24">
      <c r="A130" s="349">
        <v>101</v>
      </c>
      <c r="B130" s="353" t="s">
        <v>120</v>
      </c>
      <c r="C130" s="349" t="s">
        <v>365</v>
      </c>
      <c r="D130" s="357">
        <v>42722</v>
      </c>
      <c r="E130" s="357">
        <v>42450</v>
      </c>
      <c r="F130" s="357">
        <v>42117</v>
      </c>
      <c r="G130" s="357">
        <v>42017</v>
      </c>
      <c r="H130" s="357">
        <v>42142</v>
      </c>
      <c r="I130" s="357">
        <v>42277</v>
      </c>
      <c r="J130" s="357">
        <v>42153.667199999996</v>
      </c>
      <c r="K130" s="357">
        <v>42153.667199999996</v>
      </c>
      <c r="L130" s="357">
        <v>42154</v>
      </c>
      <c r="M130" s="357">
        <v>42154</v>
      </c>
      <c r="N130" s="357">
        <v>40052</v>
      </c>
      <c r="O130" s="357">
        <v>157859</v>
      </c>
      <c r="P130" s="357">
        <v>157859</v>
      </c>
      <c r="Q130" s="357">
        <v>157859</v>
      </c>
      <c r="R130" s="357">
        <v>157859.33119999999</v>
      </c>
      <c r="S130" s="357">
        <v>157859</v>
      </c>
      <c r="T130" s="357">
        <v>157859</v>
      </c>
      <c r="U130" s="357">
        <v>157859</v>
      </c>
      <c r="X130" s="500"/>
    </row>
    <row r="131" spans="1:24">
      <c r="A131" s="349">
        <v>102</v>
      </c>
      <c r="B131" s="353" t="s">
        <v>121</v>
      </c>
      <c r="C131" s="349" t="s">
        <v>365</v>
      </c>
      <c r="D131" s="357">
        <v>42636</v>
      </c>
      <c r="E131" s="357">
        <v>42698</v>
      </c>
      <c r="F131" s="357">
        <v>42363</v>
      </c>
      <c r="G131" s="357">
        <v>41770</v>
      </c>
      <c r="H131" s="357">
        <v>42277</v>
      </c>
      <c r="I131" s="357">
        <v>42326</v>
      </c>
      <c r="J131" s="357">
        <v>42141.646399999998</v>
      </c>
      <c r="K131" s="357">
        <v>42141.646399999998</v>
      </c>
      <c r="L131" s="357">
        <v>42142</v>
      </c>
      <c r="M131" s="357">
        <v>42142</v>
      </c>
      <c r="N131" s="357">
        <v>40485</v>
      </c>
      <c r="O131" s="357">
        <v>157192</v>
      </c>
      <c r="P131" s="357">
        <v>157192</v>
      </c>
      <c r="Q131" s="357">
        <v>157192</v>
      </c>
      <c r="R131" s="357">
        <v>157191.63039999999</v>
      </c>
      <c r="S131" s="357">
        <v>157192</v>
      </c>
      <c r="T131" s="357">
        <v>157192</v>
      </c>
      <c r="U131" s="357">
        <v>157192</v>
      </c>
      <c r="X131" s="500"/>
    </row>
    <row r="132" spans="1:24">
      <c r="A132" s="349">
        <v>103</v>
      </c>
      <c r="B132" s="353" t="s">
        <v>122</v>
      </c>
      <c r="C132" s="349" t="s">
        <v>365</v>
      </c>
      <c r="D132" s="357">
        <v>38247</v>
      </c>
      <c r="E132" s="357">
        <v>38123</v>
      </c>
      <c r="F132" s="357">
        <v>37679</v>
      </c>
      <c r="G132" s="357">
        <v>37369</v>
      </c>
      <c r="H132" s="357">
        <v>37753</v>
      </c>
      <c r="I132" s="357">
        <v>37864</v>
      </c>
      <c r="J132" s="357">
        <v>37764.982400000001</v>
      </c>
      <c r="K132" s="357">
        <v>37764.982400000001</v>
      </c>
      <c r="L132" s="357">
        <v>37765</v>
      </c>
      <c r="M132" s="357">
        <v>37765</v>
      </c>
      <c r="N132" s="357">
        <v>36145</v>
      </c>
      <c r="O132" s="357">
        <v>145436</v>
      </c>
      <c r="P132" s="357">
        <v>145436</v>
      </c>
      <c r="Q132" s="357">
        <v>145436</v>
      </c>
      <c r="R132" s="357">
        <v>145436.38079999998</v>
      </c>
      <c r="S132" s="357">
        <v>145436</v>
      </c>
      <c r="T132" s="357">
        <v>145436</v>
      </c>
      <c r="U132" s="357">
        <v>145436</v>
      </c>
      <c r="X132" s="500"/>
    </row>
    <row r="133" spans="1:24">
      <c r="A133" s="349">
        <v>104</v>
      </c>
      <c r="B133" s="353" t="s">
        <v>123</v>
      </c>
      <c r="C133" s="349" t="s">
        <v>365</v>
      </c>
      <c r="D133" s="357">
        <v>146277</v>
      </c>
      <c r="E133" s="357">
        <v>145683</v>
      </c>
      <c r="F133" s="357">
        <v>144781</v>
      </c>
      <c r="G133" s="357">
        <v>143396</v>
      </c>
      <c r="H133" s="357">
        <v>144720</v>
      </c>
      <c r="I133" s="357">
        <v>144682</v>
      </c>
      <c r="J133" s="357">
        <v>145460.42240000001</v>
      </c>
      <c r="K133" s="357">
        <v>145460.42240000001</v>
      </c>
      <c r="L133" s="357">
        <v>145460</v>
      </c>
      <c r="M133" s="357">
        <v>145460</v>
      </c>
      <c r="N133" s="357">
        <v>137426</v>
      </c>
      <c r="O133" s="357">
        <v>542360</v>
      </c>
      <c r="P133" s="357">
        <v>542360</v>
      </c>
      <c r="Q133" s="357">
        <v>542360</v>
      </c>
      <c r="R133" s="357">
        <v>542359.91839999997</v>
      </c>
      <c r="S133" s="357">
        <v>542360</v>
      </c>
      <c r="T133" s="357">
        <v>542360</v>
      </c>
      <c r="U133" s="357">
        <v>542360</v>
      </c>
      <c r="X133" s="500"/>
    </row>
    <row r="134" spans="1:24">
      <c r="A134" s="349">
        <v>105</v>
      </c>
      <c r="B134" s="353" t="s">
        <v>124</v>
      </c>
      <c r="C134" s="349" t="s">
        <v>365</v>
      </c>
      <c r="D134" s="357">
        <v>166872</v>
      </c>
      <c r="E134" s="357">
        <v>165561</v>
      </c>
      <c r="F134" s="357">
        <v>164918</v>
      </c>
      <c r="G134" s="357">
        <v>163175</v>
      </c>
      <c r="H134" s="357">
        <v>164745</v>
      </c>
      <c r="I134" s="357">
        <v>164745</v>
      </c>
      <c r="J134" s="357">
        <v>165536.2512</v>
      </c>
      <c r="K134" s="357">
        <v>165536.2512</v>
      </c>
      <c r="L134" s="357">
        <v>165536</v>
      </c>
      <c r="M134" s="357">
        <v>165536</v>
      </c>
      <c r="N134" s="357">
        <v>158527</v>
      </c>
      <c r="O134" s="357">
        <v>619274</v>
      </c>
      <c r="P134" s="357">
        <v>619274</v>
      </c>
      <c r="Q134" s="357">
        <v>619274</v>
      </c>
      <c r="R134" s="357">
        <v>619274.4608</v>
      </c>
      <c r="S134" s="357">
        <v>619274</v>
      </c>
      <c r="T134" s="357">
        <v>619274</v>
      </c>
      <c r="U134" s="357">
        <v>619274</v>
      </c>
      <c r="X134" s="500"/>
    </row>
    <row r="135" spans="1:24">
      <c r="A135" s="349">
        <v>106</v>
      </c>
      <c r="B135" s="353" t="s">
        <v>125</v>
      </c>
      <c r="C135" s="349" t="s">
        <v>365</v>
      </c>
      <c r="D135" s="357">
        <v>1545</v>
      </c>
      <c r="E135" s="357">
        <v>1545</v>
      </c>
      <c r="F135" s="357">
        <v>1520</v>
      </c>
      <c r="G135" s="357">
        <v>1508</v>
      </c>
      <c r="H135" s="357">
        <v>1533</v>
      </c>
      <c r="I135" s="357">
        <v>1533</v>
      </c>
      <c r="J135" s="357">
        <v>1520.0848000000001</v>
      </c>
      <c r="K135" s="357">
        <v>1520.0848000000001</v>
      </c>
      <c r="L135" s="357">
        <v>1520</v>
      </c>
      <c r="M135" s="357">
        <v>1520</v>
      </c>
      <c r="N135" s="357">
        <v>1447</v>
      </c>
      <c r="O135" s="357">
        <v>5662</v>
      </c>
      <c r="P135" s="357">
        <v>5662</v>
      </c>
      <c r="Q135" s="357">
        <v>5662</v>
      </c>
      <c r="R135" s="357">
        <v>5661.7968000000001</v>
      </c>
      <c r="S135" s="357">
        <v>5662</v>
      </c>
      <c r="T135" s="357">
        <v>5662</v>
      </c>
      <c r="U135" s="357">
        <v>5662</v>
      </c>
      <c r="X135" s="500"/>
    </row>
    <row r="136" spans="1:24">
      <c r="A136" s="349">
        <v>107</v>
      </c>
      <c r="B136" s="353" t="s">
        <v>126</v>
      </c>
      <c r="C136" s="349" t="s">
        <v>365</v>
      </c>
      <c r="D136" s="357">
        <v>1768</v>
      </c>
      <c r="E136" s="357">
        <v>1768</v>
      </c>
      <c r="F136" s="357">
        <v>1768</v>
      </c>
      <c r="G136" s="357">
        <v>1755</v>
      </c>
      <c r="H136" s="357">
        <v>1768</v>
      </c>
      <c r="I136" s="357">
        <v>1768</v>
      </c>
      <c r="J136" s="357">
        <v>1755.0368000000001</v>
      </c>
      <c r="K136" s="357">
        <v>1755.0368000000001</v>
      </c>
      <c r="L136" s="357">
        <v>1755</v>
      </c>
      <c r="M136" s="357">
        <v>1755</v>
      </c>
      <c r="N136" s="357">
        <v>1681</v>
      </c>
      <c r="O136" s="357">
        <v>7121</v>
      </c>
      <c r="P136" s="357">
        <v>7121</v>
      </c>
      <c r="Q136" s="357">
        <v>7121</v>
      </c>
      <c r="R136" s="357">
        <v>7120.6848</v>
      </c>
      <c r="S136" s="357">
        <v>7121</v>
      </c>
      <c r="T136" s="357">
        <v>7121</v>
      </c>
      <c r="U136" s="357">
        <v>7121</v>
      </c>
      <c r="X136" s="500"/>
    </row>
    <row r="137" spans="1:24">
      <c r="A137" s="349">
        <v>108</v>
      </c>
      <c r="B137" s="353" t="s">
        <v>127</v>
      </c>
      <c r="C137" s="349" t="s">
        <v>365</v>
      </c>
      <c r="D137" s="357">
        <v>1768</v>
      </c>
      <c r="E137" s="357">
        <v>1780</v>
      </c>
      <c r="F137" s="357">
        <v>1768</v>
      </c>
      <c r="G137" s="357">
        <v>1743</v>
      </c>
      <c r="H137" s="357">
        <v>1755</v>
      </c>
      <c r="I137" s="357">
        <v>1755</v>
      </c>
      <c r="J137" s="357">
        <v>1755.0368000000001</v>
      </c>
      <c r="K137" s="357">
        <v>1755.0368000000001</v>
      </c>
      <c r="L137" s="357">
        <v>1755</v>
      </c>
      <c r="M137" s="357">
        <v>1755</v>
      </c>
      <c r="N137" s="357">
        <v>1694</v>
      </c>
      <c r="O137" s="357">
        <v>6972</v>
      </c>
      <c r="P137" s="357">
        <v>6972</v>
      </c>
      <c r="Q137" s="357">
        <v>6972</v>
      </c>
      <c r="R137" s="357">
        <v>6972.0640000000003</v>
      </c>
      <c r="S137" s="357">
        <v>6972</v>
      </c>
      <c r="T137" s="357">
        <v>6972</v>
      </c>
      <c r="U137" s="357">
        <v>6972</v>
      </c>
      <c r="X137" s="500"/>
    </row>
    <row r="138" spans="1:24">
      <c r="A138" s="349">
        <v>109</v>
      </c>
      <c r="B138" s="353" t="s">
        <v>128</v>
      </c>
      <c r="C138" s="349" t="s">
        <v>365</v>
      </c>
      <c r="D138" s="357">
        <v>1805</v>
      </c>
      <c r="E138" s="357">
        <v>1805</v>
      </c>
      <c r="F138" s="357">
        <v>1792</v>
      </c>
      <c r="G138" s="357">
        <v>1780</v>
      </c>
      <c r="H138" s="357">
        <v>1792</v>
      </c>
      <c r="I138" s="357">
        <v>1792</v>
      </c>
      <c r="J138" s="357">
        <v>1792.192</v>
      </c>
      <c r="K138" s="357">
        <v>1792.192</v>
      </c>
      <c r="L138" s="357">
        <v>1792</v>
      </c>
      <c r="M138" s="357">
        <v>1792</v>
      </c>
      <c r="N138" s="357">
        <v>1731</v>
      </c>
      <c r="O138" s="357">
        <v>6972</v>
      </c>
      <c r="P138" s="357">
        <v>6972</v>
      </c>
      <c r="Q138" s="357">
        <v>6972</v>
      </c>
      <c r="R138" s="357">
        <v>6972.0640000000003</v>
      </c>
      <c r="S138" s="357">
        <v>6972</v>
      </c>
      <c r="T138" s="357">
        <v>6972</v>
      </c>
      <c r="U138" s="357">
        <v>6972</v>
      </c>
      <c r="X138" s="500"/>
    </row>
    <row r="139" spans="1:24">
      <c r="A139" s="349">
        <v>110</v>
      </c>
      <c r="B139" s="353" t="s">
        <v>129</v>
      </c>
      <c r="C139" s="349" t="s">
        <v>365</v>
      </c>
      <c r="D139" s="357">
        <v>1780</v>
      </c>
      <c r="E139" s="357">
        <v>1780</v>
      </c>
      <c r="F139" s="357">
        <v>1755</v>
      </c>
      <c r="G139" s="357">
        <v>1743</v>
      </c>
      <c r="H139" s="357">
        <v>1755</v>
      </c>
      <c r="I139" s="357">
        <v>1768</v>
      </c>
      <c r="J139" s="357">
        <v>1755.0368000000001</v>
      </c>
      <c r="K139" s="357">
        <v>1755.0368000000001</v>
      </c>
      <c r="L139" s="357">
        <v>1755</v>
      </c>
      <c r="M139" s="357">
        <v>1755</v>
      </c>
      <c r="N139" s="357">
        <v>1669</v>
      </c>
      <c r="O139" s="357">
        <v>6576</v>
      </c>
      <c r="P139" s="357">
        <v>6576</v>
      </c>
      <c r="Q139" s="357">
        <v>6576</v>
      </c>
      <c r="R139" s="357">
        <v>6576.4704000000002</v>
      </c>
      <c r="S139" s="357">
        <v>6576</v>
      </c>
      <c r="T139" s="357">
        <v>6576</v>
      </c>
      <c r="U139" s="357">
        <v>6576</v>
      </c>
      <c r="X139" s="500"/>
    </row>
    <row r="140" spans="1:24">
      <c r="A140" s="349">
        <v>111</v>
      </c>
      <c r="B140" s="353" t="s">
        <v>130</v>
      </c>
      <c r="C140" s="349" t="s">
        <v>365</v>
      </c>
      <c r="D140" s="357">
        <v>1768</v>
      </c>
      <c r="E140" s="357">
        <v>1768</v>
      </c>
      <c r="F140" s="357">
        <v>1755</v>
      </c>
      <c r="G140" s="357">
        <v>1743</v>
      </c>
      <c r="H140" s="357">
        <v>1768</v>
      </c>
      <c r="I140" s="357">
        <v>1755</v>
      </c>
      <c r="J140" s="357">
        <v>1755.0368000000001</v>
      </c>
      <c r="K140" s="357">
        <v>1755.0368000000001</v>
      </c>
      <c r="L140" s="357">
        <v>1755</v>
      </c>
      <c r="M140" s="357">
        <v>1755</v>
      </c>
      <c r="N140" s="357">
        <v>1694</v>
      </c>
      <c r="O140" s="357">
        <v>6416</v>
      </c>
      <c r="P140" s="357">
        <v>6416</v>
      </c>
      <c r="Q140" s="357">
        <v>6416</v>
      </c>
      <c r="R140" s="357">
        <v>6415.8288000000002</v>
      </c>
      <c r="S140" s="357">
        <v>6416</v>
      </c>
      <c r="T140" s="357">
        <v>6416</v>
      </c>
      <c r="U140" s="357">
        <v>6416</v>
      </c>
      <c r="X140" s="500"/>
    </row>
    <row r="141" spans="1:24">
      <c r="A141" s="349">
        <v>112</v>
      </c>
      <c r="B141" s="353" t="s">
        <v>131</v>
      </c>
      <c r="C141" s="349" t="s">
        <v>365</v>
      </c>
      <c r="D141" s="357">
        <v>3153</v>
      </c>
      <c r="E141" s="357">
        <v>3153</v>
      </c>
      <c r="F141" s="357">
        <v>3116</v>
      </c>
      <c r="G141" s="357">
        <v>3102</v>
      </c>
      <c r="H141" s="357">
        <v>3128</v>
      </c>
      <c r="I141" s="357">
        <v>3128</v>
      </c>
      <c r="J141" s="357">
        <v>3127.5936000000002</v>
      </c>
      <c r="K141" s="357">
        <v>3127.5936000000002</v>
      </c>
      <c r="L141" s="357">
        <v>3128</v>
      </c>
      <c r="M141" s="357">
        <v>3128</v>
      </c>
      <c r="N141" s="357">
        <v>2992</v>
      </c>
      <c r="O141" s="357">
        <v>11793</v>
      </c>
      <c r="P141" s="357">
        <v>11793</v>
      </c>
      <c r="Q141" s="357">
        <v>11793</v>
      </c>
      <c r="R141" s="357">
        <v>11793.497600000001</v>
      </c>
      <c r="S141" s="357">
        <v>11793</v>
      </c>
      <c r="T141" s="357">
        <v>11793</v>
      </c>
      <c r="U141" s="357">
        <v>11793</v>
      </c>
      <c r="X141" s="500"/>
    </row>
    <row r="142" spans="1:24">
      <c r="A142" s="349">
        <v>113</v>
      </c>
      <c r="B142" s="353" t="s">
        <v>132</v>
      </c>
      <c r="C142" s="349" t="s">
        <v>365</v>
      </c>
      <c r="D142" s="357">
        <v>3647</v>
      </c>
      <c r="E142" s="357">
        <v>3622</v>
      </c>
      <c r="F142" s="357">
        <v>3610</v>
      </c>
      <c r="G142" s="357">
        <v>3584</v>
      </c>
      <c r="H142" s="357">
        <v>3597</v>
      </c>
      <c r="I142" s="357">
        <v>3597</v>
      </c>
      <c r="J142" s="357">
        <v>3621.5392000000002</v>
      </c>
      <c r="K142" s="357">
        <v>3621.5392000000002</v>
      </c>
      <c r="L142" s="357">
        <v>3622</v>
      </c>
      <c r="M142" s="357">
        <v>3622</v>
      </c>
      <c r="N142" s="357">
        <v>3461</v>
      </c>
      <c r="O142" s="357">
        <v>13932</v>
      </c>
      <c r="P142" s="357">
        <v>13932</v>
      </c>
      <c r="Q142" s="357">
        <v>13932</v>
      </c>
      <c r="R142" s="357">
        <v>13932.1072</v>
      </c>
      <c r="S142" s="357">
        <v>13932</v>
      </c>
      <c r="T142" s="357">
        <v>13932</v>
      </c>
      <c r="U142" s="357">
        <v>13932</v>
      </c>
      <c r="X142" s="500"/>
    </row>
    <row r="143" spans="1:24">
      <c r="A143" s="349">
        <v>114</v>
      </c>
      <c r="B143" s="353" t="s">
        <v>133</v>
      </c>
      <c r="C143" s="349" t="s">
        <v>365</v>
      </c>
      <c r="D143" s="357">
        <v>4203</v>
      </c>
      <c r="E143" s="357">
        <v>4178</v>
      </c>
      <c r="F143" s="357">
        <v>4166</v>
      </c>
      <c r="G143" s="357">
        <v>4105</v>
      </c>
      <c r="H143" s="357">
        <v>4154</v>
      </c>
      <c r="I143" s="357">
        <v>4154</v>
      </c>
      <c r="J143" s="357">
        <v>4141.7119999999995</v>
      </c>
      <c r="K143" s="357">
        <v>4141.7119999999995</v>
      </c>
      <c r="L143" s="357">
        <v>4142</v>
      </c>
      <c r="M143" s="357">
        <v>4142</v>
      </c>
      <c r="N143" s="357">
        <v>3956</v>
      </c>
      <c r="O143" s="357">
        <v>15254</v>
      </c>
      <c r="P143" s="357">
        <v>15254</v>
      </c>
      <c r="Q143" s="357">
        <v>15254</v>
      </c>
      <c r="R143" s="357">
        <v>15254.395199999999</v>
      </c>
      <c r="S143" s="357">
        <v>15254</v>
      </c>
      <c r="T143" s="357">
        <v>15254</v>
      </c>
      <c r="U143" s="357">
        <v>15254</v>
      </c>
      <c r="X143" s="500"/>
    </row>
    <row r="144" spans="1:24">
      <c r="A144" s="349">
        <v>115</v>
      </c>
      <c r="B144" s="353" t="s">
        <v>134</v>
      </c>
      <c r="C144" s="349" t="s">
        <v>365</v>
      </c>
      <c r="D144" s="357">
        <v>4500</v>
      </c>
      <c r="E144" s="357">
        <v>4524</v>
      </c>
      <c r="F144" s="357">
        <v>4463</v>
      </c>
      <c r="G144" s="357">
        <v>4413</v>
      </c>
      <c r="H144" s="357">
        <v>4463</v>
      </c>
      <c r="I144" s="357">
        <v>4463</v>
      </c>
      <c r="J144" s="357">
        <v>4449.8815999999997</v>
      </c>
      <c r="K144" s="357">
        <v>4449.8815999999997</v>
      </c>
      <c r="L144" s="357">
        <v>4450</v>
      </c>
      <c r="M144" s="357">
        <v>4450</v>
      </c>
      <c r="N144" s="357">
        <v>4302</v>
      </c>
      <c r="O144" s="357">
        <v>17084</v>
      </c>
      <c r="P144" s="357">
        <v>17084</v>
      </c>
      <c r="Q144" s="357">
        <v>17084</v>
      </c>
      <c r="R144" s="357">
        <v>17083.742399999999</v>
      </c>
      <c r="S144" s="357">
        <v>17084</v>
      </c>
      <c r="T144" s="357">
        <v>17084</v>
      </c>
      <c r="U144" s="357">
        <v>17084</v>
      </c>
      <c r="X144" s="500"/>
    </row>
    <row r="145" spans="1:24">
      <c r="A145" s="349">
        <v>116</v>
      </c>
      <c r="B145" s="353" t="s">
        <v>135</v>
      </c>
      <c r="C145" s="349" t="s">
        <v>365</v>
      </c>
      <c r="D145" s="357">
        <v>4364</v>
      </c>
      <c r="E145" s="357">
        <v>4376</v>
      </c>
      <c r="F145" s="357">
        <v>4340</v>
      </c>
      <c r="G145" s="357">
        <v>4302</v>
      </c>
      <c r="H145" s="357">
        <v>4352</v>
      </c>
      <c r="I145" s="357">
        <v>4326</v>
      </c>
      <c r="J145" s="357">
        <v>4351.5295999999998</v>
      </c>
      <c r="K145" s="357">
        <v>4351.5295999999998</v>
      </c>
      <c r="L145" s="357">
        <v>4352</v>
      </c>
      <c r="M145" s="357">
        <v>4352</v>
      </c>
      <c r="N145" s="357">
        <v>4154</v>
      </c>
      <c r="O145" s="357">
        <v>16441</v>
      </c>
      <c r="P145" s="357">
        <v>16441</v>
      </c>
      <c r="Q145" s="357">
        <v>16441</v>
      </c>
      <c r="R145" s="357">
        <v>16441.175999999999</v>
      </c>
      <c r="S145" s="357">
        <v>16441</v>
      </c>
      <c r="T145" s="357">
        <v>16441</v>
      </c>
      <c r="U145" s="357">
        <v>16441</v>
      </c>
      <c r="X145" s="500"/>
    </row>
    <row r="146" spans="1:24">
      <c r="A146" s="349">
        <v>117</v>
      </c>
      <c r="B146" s="353" t="s">
        <v>136</v>
      </c>
      <c r="C146" s="349" t="s">
        <v>365</v>
      </c>
      <c r="D146" s="357">
        <v>4240</v>
      </c>
      <c r="E146" s="357">
        <v>4228</v>
      </c>
      <c r="F146" s="357">
        <v>4191</v>
      </c>
      <c r="G146" s="357">
        <v>4166</v>
      </c>
      <c r="H146" s="357">
        <v>4203</v>
      </c>
      <c r="I146" s="357">
        <v>4215</v>
      </c>
      <c r="J146" s="357">
        <v>4177.7744000000002</v>
      </c>
      <c r="K146" s="357">
        <v>4177.7744000000002</v>
      </c>
      <c r="L146" s="357">
        <v>4178</v>
      </c>
      <c r="M146" s="357">
        <v>4178</v>
      </c>
      <c r="N146" s="357">
        <v>3993</v>
      </c>
      <c r="O146" s="357">
        <v>16849</v>
      </c>
      <c r="P146" s="357">
        <v>16849</v>
      </c>
      <c r="Q146" s="357">
        <v>16849</v>
      </c>
      <c r="R146" s="357">
        <v>16848.790399999998</v>
      </c>
      <c r="S146" s="357">
        <v>16849</v>
      </c>
      <c r="T146" s="357">
        <v>16849</v>
      </c>
      <c r="U146" s="357">
        <v>16849</v>
      </c>
      <c r="X146" s="500"/>
    </row>
    <row r="147" spans="1:24">
      <c r="A147" s="349">
        <v>118</v>
      </c>
      <c r="B147" s="353" t="s">
        <v>137</v>
      </c>
      <c r="C147" s="349" t="s">
        <v>365</v>
      </c>
      <c r="D147" s="357">
        <v>4747</v>
      </c>
      <c r="E147" s="357">
        <v>4734</v>
      </c>
      <c r="F147" s="357">
        <v>4698</v>
      </c>
      <c r="G147" s="357">
        <v>4661</v>
      </c>
      <c r="H147" s="357">
        <v>4698</v>
      </c>
      <c r="I147" s="357">
        <v>4673</v>
      </c>
      <c r="J147" s="357">
        <v>4697.9471999999996</v>
      </c>
      <c r="K147" s="357">
        <v>4697.9471999999996</v>
      </c>
      <c r="L147" s="357">
        <v>4698</v>
      </c>
      <c r="M147" s="357">
        <v>4698</v>
      </c>
      <c r="N147" s="357">
        <v>4463</v>
      </c>
      <c r="O147" s="357">
        <v>18926</v>
      </c>
      <c r="P147" s="357">
        <v>18926</v>
      </c>
      <c r="Q147" s="357">
        <v>18926</v>
      </c>
      <c r="R147" s="357">
        <v>18926.2032</v>
      </c>
      <c r="S147" s="357">
        <v>18926</v>
      </c>
      <c r="T147" s="357">
        <v>18926</v>
      </c>
      <c r="U147" s="357">
        <v>18926</v>
      </c>
      <c r="X147" s="500"/>
    </row>
    <row r="148" spans="1:24">
      <c r="A148" s="349">
        <v>119</v>
      </c>
      <c r="B148" s="353" t="s">
        <v>138</v>
      </c>
      <c r="C148" s="349" t="s">
        <v>365</v>
      </c>
      <c r="D148" s="357">
        <v>4957</v>
      </c>
      <c r="E148" s="357">
        <v>4957</v>
      </c>
      <c r="F148" s="357">
        <v>4908</v>
      </c>
      <c r="G148" s="357">
        <v>4859</v>
      </c>
      <c r="H148" s="357">
        <v>4920</v>
      </c>
      <c r="I148" s="357">
        <v>4896</v>
      </c>
      <c r="J148" s="357">
        <v>4919.7856000000002</v>
      </c>
      <c r="K148" s="357">
        <v>4919.7856000000002</v>
      </c>
      <c r="L148" s="357">
        <v>4920</v>
      </c>
      <c r="M148" s="357">
        <v>4920</v>
      </c>
      <c r="N148" s="357">
        <v>4722</v>
      </c>
      <c r="O148" s="357">
        <v>19408</v>
      </c>
      <c r="P148" s="357">
        <v>19408</v>
      </c>
      <c r="Q148" s="357">
        <v>19408</v>
      </c>
      <c r="R148" s="357">
        <v>19408.128000000001</v>
      </c>
      <c r="S148" s="357">
        <v>19408</v>
      </c>
      <c r="T148" s="357">
        <v>19408</v>
      </c>
      <c r="U148" s="357">
        <v>19408</v>
      </c>
      <c r="X148" s="500"/>
    </row>
    <row r="149" spans="1:24">
      <c r="A149" s="349">
        <v>120</v>
      </c>
      <c r="B149" s="353" t="s">
        <v>139</v>
      </c>
      <c r="C149" s="349" t="s">
        <v>365</v>
      </c>
      <c r="D149" s="357">
        <v>5291</v>
      </c>
      <c r="E149" s="357">
        <v>5278</v>
      </c>
      <c r="F149" s="357">
        <v>5204</v>
      </c>
      <c r="G149" s="357">
        <v>5180</v>
      </c>
      <c r="H149" s="357">
        <v>5241</v>
      </c>
      <c r="I149" s="357">
        <v>5229</v>
      </c>
      <c r="J149" s="357">
        <v>5217.0272000000004</v>
      </c>
      <c r="K149" s="357">
        <v>5217.0272000000004</v>
      </c>
      <c r="L149" s="357">
        <v>5217</v>
      </c>
      <c r="M149" s="357">
        <v>5217</v>
      </c>
      <c r="N149" s="357">
        <v>5031</v>
      </c>
      <c r="O149" s="357">
        <v>20051</v>
      </c>
      <c r="P149" s="357">
        <v>20051</v>
      </c>
      <c r="Q149" s="357">
        <v>20051</v>
      </c>
      <c r="R149" s="357">
        <v>20050.6944</v>
      </c>
      <c r="S149" s="357">
        <v>20051</v>
      </c>
      <c r="T149" s="357">
        <v>20051</v>
      </c>
      <c r="U149" s="357">
        <v>20051</v>
      </c>
      <c r="X149" s="500"/>
    </row>
    <row r="150" spans="1:24">
      <c r="A150" s="349">
        <v>121</v>
      </c>
      <c r="B150" s="353" t="s">
        <v>140</v>
      </c>
      <c r="C150" s="349" t="s">
        <v>365</v>
      </c>
      <c r="D150" s="357">
        <v>6020</v>
      </c>
      <c r="E150" s="357">
        <v>6045</v>
      </c>
      <c r="F150" s="357">
        <v>5995</v>
      </c>
      <c r="G150" s="357">
        <v>5934</v>
      </c>
      <c r="H150" s="357">
        <v>5983</v>
      </c>
      <c r="I150" s="357">
        <v>5995</v>
      </c>
      <c r="J150" s="357">
        <v>6008.2143999999998</v>
      </c>
      <c r="K150" s="357">
        <v>6008.2143999999998</v>
      </c>
      <c r="L150" s="357">
        <v>6008</v>
      </c>
      <c r="M150" s="357">
        <v>6008</v>
      </c>
      <c r="N150" s="357">
        <v>5674</v>
      </c>
      <c r="O150" s="357">
        <v>23611</v>
      </c>
      <c r="P150" s="357">
        <v>23611</v>
      </c>
      <c r="Q150" s="357">
        <v>23611</v>
      </c>
      <c r="R150" s="357">
        <v>23611.036800000002</v>
      </c>
      <c r="S150" s="357">
        <v>23611</v>
      </c>
      <c r="T150" s="357">
        <v>23611</v>
      </c>
      <c r="U150" s="357">
        <v>23611</v>
      </c>
      <c r="X150" s="500"/>
    </row>
    <row r="151" spans="1:24">
      <c r="A151" s="349">
        <v>122</v>
      </c>
      <c r="B151" s="353" t="s">
        <v>141</v>
      </c>
      <c r="C151" s="349" t="s">
        <v>365</v>
      </c>
      <c r="D151" s="357">
        <v>5327</v>
      </c>
      <c r="E151" s="357">
        <v>5303</v>
      </c>
      <c r="F151" s="357">
        <v>5266</v>
      </c>
      <c r="G151" s="357">
        <v>5241</v>
      </c>
      <c r="H151" s="357">
        <v>5303</v>
      </c>
      <c r="I151" s="357">
        <v>5291</v>
      </c>
      <c r="J151" s="357">
        <v>5266.2031999999999</v>
      </c>
      <c r="K151" s="357">
        <v>5266.2031999999999</v>
      </c>
      <c r="L151" s="357">
        <v>5266</v>
      </c>
      <c r="M151" s="357">
        <v>5266</v>
      </c>
      <c r="N151" s="357">
        <v>5068</v>
      </c>
      <c r="O151" s="357">
        <v>20916</v>
      </c>
      <c r="P151" s="357">
        <v>20916</v>
      </c>
      <c r="Q151" s="357">
        <v>20916</v>
      </c>
      <c r="R151" s="357">
        <v>20916.191999999999</v>
      </c>
      <c r="S151" s="357">
        <v>20916</v>
      </c>
      <c r="T151" s="357">
        <v>20916</v>
      </c>
      <c r="U151" s="357">
        <v>20916</v>
      </c>
      <c r="X151" s="500"/>
    </row>
    <row r="152" spans="1:24">
      <c r="A152" s="349">
        <v>123</v>
      </c>
      <c r="B152" s="353" t="s">
        <v>142</v>
      </c>
      <c r="C152" s="349" t="s">
        <v>365</v>
      </c>
      <c r="D152" s="357">
        <v>5315</v>
      </c>
      <c r="E152" s="357">
        <v>5327</v>
      </c>
      <c r="F152" s="357">
        <v>5266</v>
      </c>
      <c r="G152" s="357">
        <v>5229</v>
      </c>
      <c r="H152" s="357">
        <v>5278</v>
      </c>
      <c r="I152" s="357">
        <v>5278</v>
      </c>
      <c r="J152" s="357">
        <v>5291.3375999999998</v>
      </c>
      <c r="K152" s="357">
        <v>5291.3375999999998</v>
      </c>
      <c r="L152" s="357">
        <v>5291</v>
      </c>
      <c r="M152" s="357">
        <v>5291</v>
      </c>
      <c r="N152" s="357">
        <v>5056</v>
      </c>
      <c r="O152" s="357">
        <v>19655</v>
      </c>
      <c r="P152" s="357">
        <v>19655</v>
      </c>
      <c r="Q152" s="357">
        <v>19655</v>
      </c>
      <c r="R152" s="357">
        <v>19655.1008</v>
      </c>
      <c r="S152" s="357">
        <v>19655</v>
      </c>
      <c r="T152" s="357">
        <v>19655</v>
      </c>
      <c r="U152" s="357">
        <v>19655</v>
      </c>
      <c r="X152" s="500"/>
    </row>
    <row r="153" spans="1:24">
      <c r="A153" s="349">
        <v>124</v>
      </c>
      <c r="B153" s="353" t="s">
        <v>143</v>
      </c>
      <c r="C153" s="349" t="s">
        <v>365</v>
      </c>
      <c r="D153" s="357">
        <v>6651</v>
      </c>
      <c r="E153" s="357">
        <v>6651</v>
      </c>
      <c r="F153" s="357">
        <v>6614</v>
      </c>
      <c r="G153" s="357">
        <v>6564</v>
      </c>
      <c r="H153" s="357">
        <v>6639</v>
      </c>
      <c r="I153" s="357">
        <v>6614</v>
      </c>
      <c r="J153" s="357">
        <v>6625.6463999999996</v>
      </c>
      <c r="K153" s="357">
        <v>6625.6463999999996</v>
      </c>
      <c r="L153" s="357">
        <v>6626</v>
      </c>
      <c r="M153" s="357">
        <v>6626</v>
      </c>
      <c r="N153" s="357">
        <v>6292</v>
      </c>
      <c r="O153" s="357">
        <v>26306</v>
      </c>
      <c r="P153" s="357">
        <v>26306</v>
      </c>
      <c r="Q153" s="357">
        <v>26306</v>
      </c>
      <c r="R153" s="357">
        <v>26305.881600000001</v>
      </c>
      <c r="S153" s="357">
        <v>26306</v>
      </c>
      <c r="T153" s="357">
        <v>26306</v>
      </c>
      <c r="U153" s="357">
        <v>26306</v>
      </c>
      <c r="X153" s="500"/>
    </row>
    <row r="154" spans="1:24">
      <c r="A154" s="349">
        <v>125</v>
      </c>
      <c r="B154" s="353" t="s">
        <v>144</v>
      </c>
      <c r="C154" s="349" t="s">
        <v>365</v>
      </c>
      <c r="D154" s="357">
        <v>7318</v>
      </c>
      <c r="E154" s="357">
        <v>7331</v>
      </c>
      <c r="F154" s="357">
        <v>7244</v>
      </c>
      <c r="G154" s="357">
        <v>7195</v>
      </c>
      <c r="H154" s="357">
        <v>7281</v>
      </c>
      <c r="I154" s="357">
        <v>7256</v>
      </c>
      <c r="J154" s="357">
        <v>7244.1711999999998</v>
      </c>
      <c r="K154" s="357">
        <v>7244.1711999999998</v>
      </c>
      <c r="L154" s="357">
        <v>7244</v>
      </c>
      <c r="M154" s="357">
        <v>7244</v>
      </c>
      <c r="N154" s="357">
        <v>6935</v>
      </c>
      <c r="O154" s="357">
        <v>28345</v>
      </c>
      <c r="P154" s="357">
        <v>28345</v>
      </c>
      <c r="Q154" s="357">
        <v>28345</v>
      </c>
      <c r="R154" s="357">
        <v>28345.046399999999</v>
      </c>
      <c r="S154" s="357">
        <v>28345</v>
      </c>
      <c r="T154" s="357">
        <v>28345</v>
      </c>
      <c r="U154" s="357">
        <v>28345</v>
      </c>
      <c r="X154" s="500"/>
    </row>
    <row r="155" spans="1:24">
      <c r="A155" s="349">
        <v>126</v>
      </c>
      <c r="B155" s="353" t="s">
        <v>145</v>
      </c>
      <c r="C155" s="349" t="s">
        <v>365</v>
      </c>
      <c r="D155" s="357">
        <v>8307</v>
      </c>
      <c r="E155" s="357">
        <v>8345</v>
      </c>
      <c r="F155" s="357">
        <v>8233</v>
      </c>
      <c r="G155" s="357">
        <v>8220</v>
      </c>
      <c r="H155" s="357">
        <v>8257</v>
      </c>
      <c r="I155" s="357">
        <v>8282</v>
      </c>
      <c r="J155" s="357">
        <v>8245.1759999999995</v>
      </c>
      <c r="K155" s="357">
        <v>8245.1759999999995</v>
      </c>
      <c r="L155" s="357">
        <v>8245</v>
      </c>
      <c r="M155" s="357">
        <v>8245</v>
      </c>
      <c r="N155" s="357">
        <v>7912</v>
      </c>
      <c r="O155" s="357">
        <v>30756</v>
      </c>
      <c r="P155" s="357">
        <v>30756</v>
      </c>
      <c r="Q155" s="357">
        <v>30756</v>
      </c>
      <c r="R155" s="357">
        <v>30755.763200000001</v>
      </c>
      <c r="S155" s="357">
        <v>30756</v>
      </c>
      <c r="T155" s="357">
        <v>30756</v>
      </c>
      <c r="U155" s="357">
        <v>30756</v>
      </c>
      <c r="X155" s="500"/>
    </row>
    <row r="156" spans="1:24">
      <c r="A156" s="349">
        <v>127</v>
      </c>
      <c r="B156" s="353" t="s">
        <v>146</v>
      </c>
      <c r="C156" s="349" t="s">
        <v>365</v>
      </c>
      <c r="D156" s="357">
        <v>9469</v>
      </c>
      <c r="E156" s="357">
        <v>9444</v>
      </c>
      <c r="F156" s="357">
        <v>9346</v>
      </c>
      <c r="G156" s="357">
        <v>9320</v>
      </c>
      <c r="H156" s="357">
        <v>9383</v>
      </c>
      <c r="I156" s="357">
        <v>9395</v>
      </c>
      <c r="J156" s="357">
        <v>9357.6463999999996</v>
      </c>
      <c r="K156" s="357">
        <v>9357.6463999999996</v>
      </c>
      <c r="L156" s="357">
        <v>9358</v>
      </c>
      <c r="M156" s="357">
        <v>9358</v>
      </c>
      <c r="N156" s="357">
        <v>8888</v>
      </c>
      <c r="O156" s="357">
        <v>36480</v>
      </c>
      <c r="P156" s="357">
        <v>36480</v>
      </c>
      <c r="Q156" s="357">
        <v>36480</v>
      </c>
      <c r="R156" s="357">
        <v>36479.849600000001</v>
      </c>
      <c r="S156" s="357">
        <v>36480</v>
      </c>
      <c r="T156" s="357">
        <v>36480</v>
      </c>
      <c r="U156" s="357">
        <v>36480</v>
      </c>
      <c r="X156" s="500"/>
    </row>
    <row r="157" spans="1:24">
      <c r="A157" s="349">
        <v>128</v>
      </c>
      <c r="B157" s="353" t="s">
        <v>147</v>
      </c>
      <c r="C157" s="349" t="s">
        <v>365</v>
      </c>
      <c r="D157" s="357">
        <v>8580</v>
      </c>
      <c r="E157" s="357">
        <v>8580</v>
      </c>
      <c r="F157" s="357">
        <v>8517</v>
      </c>
      <c r="G157" s="357">
        <v>8418</v>
      </c>
      <c r="H157" s="357">
        <v>8517</v>
      </c>
      <c r="I157" s="357">
        <v>8505</v>
      </c>
      <c r="J157" s="357">
        <v>8480.1280000000006</v>
      </c>
      <c r="K157" s="357">
        <v>8480.1280000000006</v>
      </c>
      <c r="L157" s="357">
        <v>8480</v>
      </c>
      <c r="M157" s="357">
        <v>8480</v>
      </c>
      <c r="N157" s="357">
        <v>8159</v>
      </c>
      <c r="O157" s="357">
        <v>33092</v>
      </c>
      <c r="P157" s="357">
        <v>33092</v>
      </c>
      <c r="Q157" s="357">
        <v>33092</v>
      </c>
      <c r="R157" s="357">
        <v>33092.169600000001</v>
      </c>
      <c r="S157" s="357">
        <v>33092</v>
      </c>
      <c r="T157" s="357">
        <v>33092</v>
      </c>
      <c r="U157" s="357">
        <v>33092</v>
      </c>
      <c r="X157" s="500"/>
    </row>
    <row r="158" spans="1:24">
      <c r="A158" s="349">
        <v>129</v>
      </c>
      <c r="B158" s="353" t="s">
        <v>148</v>
      </c>
      <c r="C158" s="349" t="s">
        <v>365</v>
      </c>
      <c r="D158" s="357">
        <v>8604</v>
      </c>
      <c r="E158" s="357">
        <v>8580</v>
      </c>
      <c r="F158" s="357">
        <v>8480</v>
      </c>
      <c r="G158" s="357">
        <v>8431</v>
      </c>
      <c r="H158" s="357">
        <v>8517</v>
      </c>
      <c r="I158" s="357">
        <v>8492</v>
      </c>
      <c r="J158" s="357">
        <v>8529.3040000000001</v>
      </c>
      <c r="K158" s="357">
        <v>8529.3040000000001</v>
      </c>
      <c r="L158" s="357">
        <v>8529</v>
      </c>
      <c r="M158" s="357">
        <v>8529</v>
      </c>
      <c r="N158" s="357">
        <v>8134</v>
      </c>
      <c r="O158" s="357">
        <v>31523</v>
      </c>
      <c r="P158" s="357">
        <v>31523</v>
      </c>
      <c r="Q158" s="357">
        <v>31523</v>
      </c>
      <c r="R158" s="357">
        <v>31522.908800000001</v>
      </c>
      <c r="S158" s="357">
        <v>31523</v>
      </c>
      <c r="T158" s="357">
        <v>31523</v>
      </c>
      <c r="U158" s="357">
        <v>31523</v>
      </c>
      <c r="X158" s="500"/>
    </row>
    <row r="159" spans="1:24">
      <c r="A159" s="349">
        <v>130</v>
      </c>
      <c r="B159" s="353" t="s">
        <v>149</v>
      </c>
      <c r="C159" s="349" t="s">
        <v>365</v>
      </c>
      <c r="D159" s="357">
        <v>6947</v>
      </c>
      <c r="E159" s="357">
        <v>6960</v>
      </c>
      <c r="F159" s="357">
        <v>6886</v>
      </c>
      <c r="G159" s="357">
        <v>6849</v>
      </c>
      <c r="H159" s="357">
        <v>6898</v>
      </c>
      <c r="I159" s="357">
        <v>6898</v>
      </c>
      <c r="J159" s="357">
        <v>6922.8879999999999</v>
      </c>
      <c r="K159" s="357">
        <v>6922.8879999999999</v>
      </c>
      <c r="L159" s="357">
        <v>6923</v>
      </c>
      <c r="M159" s="357">
        <v>6923</v>
      </c>
      <c r="N159" s="357">
        <v>6576</v>
      </c>
      <c r="O159" s="357">
        <v>25231</v>
      </c>
      <c r="P159" s="357">
        <v>25231</v>
      </c>
      <c r="Q159" s="357">
        <v>25231</v>
      </c>
      <c r="R159" s="357">
        <v>25230.5664</v>
      </c>
      <c r="S159" s="357">
        <v>25231</v>
      </c>
      <c r="T159" s="357">
        <v>25231</v>
      </c>
      <c r="U159" s="357">
        <v>25231</v>
      </c>
      <c r="X159" s="500"/>
    </row>
    <row r="160" spans="1:24">
      <c r="A160" s="349">
        <v>131</v>
      </c>
      <c r="B160" s="353" t="s">
        <v>150</v>
      </c>
      <c r="C160" s="349" t="s">
        <v>365</v>
      </c>
      <c r="D160" s="357">
        <v>6972</v>
      </c>
      <c r="E160" s="357">
        <v>6935</v>
      </c>
      <c r="F160" s="357">
        <v>6910</v>
      </c>
      <c r="G160" s="357">
        <v>6811</v>
      </c>
      <c r="H160" s="357">
        <v>6898</v>
      </c>
      <c r="I160" s="357">
        <v>6910</v>
      </c>
      <c r="J160" s="357">
        <v>6872.6192000000001</v>
      </c>
      <c r="K160" s="357">
        <v>6872.6192000000001</v>
      </c>
      <c r="L160" s="357">
        <v>6873</v>
      </c>
      <c r="M160" s="357">
        <v>6873</v>
      </c>
      <c r="N160" s="357">
        <v>6576</v>
      </c>
      <c r="O160" s="357">
        <v>25205</v>
      </c>
      <c r="P160" s="357">
        <v>25205</v>
      </c>
      <c r="Q160" s="357">
        <v>25205</v>
      </c>
      <c r="R160" s="357">
        <v>25205.432000000001</v>
      </c>
      <c r="S160" s="357">
        <v>25205</v>
      </c>
      <c r="T160" s="357">
        <v>25205</v>
      </c>
      <c r="U160" s="357">
        <v>25205</v>
      </c>
      <c r="X160" s="500"/>
    </row>
    <row r="161" spans="1:24">
      <c r="A161" s="349">
        <v>132</v>
      </c>
      <c r="B161" s="353" t="s">
        <v>151</v>
      </c>
      <c r="C161" s="349" t="s">
        <v>365</v>
      </c>
      <c r="D161" s="357">
        <v>7738</v>
      </c>
      <c r="E161" s="357">
        <v>7738</v>
      </c>
      <c r="F161" s="357">
        <v>7652</v>
      </c>
      <c r="G161" s="357">
        <v>7603</v>
      </c>
      <c r="H161" s="357">
        <v>7664</v>
      </c>
      <c r="I161" s="357">
        <v>7689</v>
      </c>
      <c r="J161" s="357">
        <v>7663.8063999999995</v>
      </c>
      <c r="K161" s="357">
        <v>7663.8063999999995</v>
      </c>
      <c r="L161" s="357">
        <v>7664</v>
      </c>
      <c r="M161" s="357">
        <v>7664</v>
      </c>
      <c r="N161" s="357">
        <v>7293</v>
      </c>
      <c r="O161" s="357">
        <v>28691</v>
      </c>
      <c r="P161" s="357">
        <v>28691</v>
      </c>
      <c r="Q161" s="357">
        <v>28691</v>
      </c>
      <c r="R161" s="357">
        <v>28691.464</v>
      </c>
      <c r="S161" s="357">
        <v>28691</v>
      </c>
      <c r="T161" s="357">
        <v>28691</v>
      </c>
      <c r="U161" s="357">
        <v>28691</v>
      </c>
      <c r="X161" s="500"/>
    </row>
    <row r="162" spans="1:24">
      <c r="A162" s="349">
        <v>133</v>
      </c>
      <c r="B162" s="353" t="s">
        <v>152</v>
      </c>
      <c r="C162" s="349" t="s">
        <v>365</v>
      </c>
      <c r="D162" s="357">
        <v>7738</v>
      </c>
      <c r="E162" s="357">
        <v>7726</v>
      </c>
      <c r="F162" s="357">
        <v>7652</v>
      </c>
      <c r="G162" s="357">
        <v>7591</v>
      </c>
      <c r="H162" s="357">
        <v>7664</v>
      </c>
      <c r="I162" s="357">
        <v>7652</v>
      </c>
      <c r="J162" s="357">
        <v>7663.8063999999995</v>
      </c>
      <c r="K162" s="357">
        <v>7663.8063999999995</v>
      </c>
      <c r="L162" s="357">
        <v>7664</v>
      </c>
      <c r="M162" s="357">
        <v>7664</v>
      </c>
      <c r="N162" s="357">
        <v>7281</v>
      </c>
      <c r="O162" s="357">
        <v>29161</v>
      </c>
      <c r="P162" s="357">
        <v>29161</v>
      </c>
      <c r="Q162" s="357">
        <v>29161</v>
      </c>
      <c r="R162" s="357">
        <v>29161.367999999999</v>
      </c>
      <c r="S162" s="357">
        <v>29161</v>
      </c>
      <c r="T162" s="357">
        <v>29161</v>
      </c>
      <c r="U162" s="357">
        <v>29161</v>
      </c>
      <c r="X162" s="500"/>
    </row>
    <row r="163" spans="1:24">
      <c r="A163" s="349">
        <v>134</v>
      </c>
      <c r="B163" s="353" t="s">
        <v>153</v>
      </c>
      <c r="C163" s="349" t="s">
        <v>365</v>
      </c>
      <c r="D163" s="357">
        <v>8492</v>
      </c>
      <c r="E163" s="357">
        <v>8431</v>
      </c>
      <c r="F163" s="357">
        <v>8394</v>
      </c>
      <c r="G163" s="357">
        <v>8345</v>
      </c>
      <c r="H163" s="357">
        <v>8369</v>
      </c>
      <c r="I163" s="357">
        <v>8406</v>
      </c>
      <c r="J163" s="357">
        <v>8381.7759999999998</v>
      </c>
      <c r="K163" s="357">
        <v>8381.7759999999998</v>
      </c>
      <c r="L163" s="357">
        <v>8382</v>
      </c>
      <c r="M163" s="357">
        <v>8382</v>
      </c>
      <c r="N163" s="357">
        <v>8035</v>
      </c>
      <c r="O163" s="357">
        <v>32659</v>
      </c>
      <c r="P163" s="357">
        <v>32659</v>
      </c>
      <c r="Q163" s="357">
        <v>32659</v>
      </c>
      <c r="R163" s="357">
        <v>32659.4208</v>
      </c>
      <c r="S163" s="357">
        <v>32659</v>
      </c>
      <c r="T163" s="357">
        <v>32659</v>
      </c>
      <c r="U163" s="357">
        <v>32659</v>
      </c>
      <c r="X163" s="500"/>
    </row>
    <row r="164" spans="1:24">
      <c r="A164" s="349">
        <v>135</v>
      </c>
      <c r="B164" s="353" t="s">
        <v>154</v>
      </c>
      <c r="C164" s="349" t="s">
        <v>365</v>
      </c>
      <c r="D164" s="357">
        <v>50597</v>
      </c>
      <c r="E164" s="357">
        <v>50857</v>
      </c>
      <c r="F164" s="357">
        <v>50461</v>
      </c>
      <c r="G164" s="357">
        <v>49978</v>
      </c>
      <c r="H164" s="357">
        <v>50411</v>
      </c>
      <c r="I164" s="357">
        <v>50350</v>
      </c>
      <c r="J164" s="357">
        <v>50312.512000000002</v>
      </c>
      <c r="K164" s="357">
        <v>50312.512000000002</v>
      </c>
      <c r="L164" s="357">
        <v>50313</v>
      </c>
      <c r="M164" s="357">
        <v>50313</v>
      </c>
      <c r="N164" s="357">
        <v>48025</v>
      </c>
      <c r="O164" s="357">
        <v>190446</v>
      </c>
      <c r="P164" s="357">
        <v>190446</v>
      </c>
      <c r="Q164" s="357">
        <v>190446</v>
      </c>
      <c r="R164" s="357">
        <v>190445.5344</v>
      </c>
      <c r="S164" s="357">
        <v>190446</v>
      </c>
      <c r="T164" s="357">
        <v>190446</v>
      </c>
      <c r="U164" s="357">
        <v>190446</v>
      </c>
      <c r="X164" s="500"/>
    </row>
    <row r="165" spans="1:24">
      <c r="A165" s="349">
        <v>136</v>
      </c>
      <c r="B165" s="353" t="s">
        <v>155</v>
      </c>
      <c r="C165" s="349" t="s">
        <v>365</v>
      </c>
      <c r="D165" s="357">
        <v>17814</v>
      </c>
      <c r="E165" s="357">
        <v>17900</v>
      </c>
      <c r="F165" s="357">
        <v>17677</v>
      </c>
      <c r="G165" s="357">
        <v>17616</v>
      </c>
      <c r="H165" s="357">
        <v>17801</v>
      </c>
      <c r="I165" s="357">
        <v>17789</v>
      </c>
      <c r="J165" s="357">
        <v>17813.732800000002</v>
      </c>
      <c r="K165" s="357">
        <v>17813.732800000002</v>
      </c>
      <c r="L165" s="357">
        <v>17814</v>
      </c>
      <c r="M165" s="357">
        <v>17814</v>
      </c>
      <c r="N165" s="357">
        <v>16899</v>
      </c>
      <c r="O165" s="357">
        <v>66815</v>
      </c>
      <c r="P165" s="357">
        <v>66815</v>
      </c>
      <c r="Q165" s="357">
        <v>66815</v>
      </c>
      <c r="R165" s="357">
        <v>66814.8848</v>
      </c>
      <c r="S165" s="357">
        <v>66815</v>
      </c>
      <c r="T165" s="357">
        <v>66815</v>
      </c>
      <c r="U165" s="357">
        <v>66815</v>
      </c>
      <c r="X165" s="500"/>
    </row>
    <row r="166" spans="1:24">
      <c r="A166" s="349">
        <v>137</v>
      </c>
      <c r="B166" s="353" t="s">
        <v>156</v>
      </c>
      <c r="C166" s="349" t="s">
        <v>365</v>
      </c>
      <c r="D166" s="357">
        <v>36541</v>
      </c>
      <c r="E166" s="357">
        <v>36591</v>
      </c>
      <c r="F166" s="357">
        <v>36331</v>
      </c>
      <c r="G166" s="357">
        <v>35886</v>
      </c>
      <c r="H166" s="357">
        <v>36220</v>
      </c>
      <c r="I166" s="357">
        <v>36208</v>
      </c>
      <c r="J166" s="357">
        <v>36268.939200000001</v>
      </c>
      <c r="K166" s="357">
        <v>36268.939200000001</v>
      </c>
      <c r="L166" s="357">
        <v>36269</v>
      </c>
      <c r="M166" s="357">
        <v>36269</v>
      </c>
      <c r="N166" s="357">
        <v>34712</v>
      </c>
      <c r="O166" s="357">
        <v>136943</v>
      </c>
      <c r="P166" s="357">
        <v>136943</v>
      </c>
      <c r="Q166" s="357">
        <v>136943</v>
      </c>
      <c r="R166" s="357">
        <v>136943.13920000001</v>
      </c>
      <c r="S166" s="357">
        <v>136943</v>
      </c>
      <c r="T166" s="357">
        <v>136943</v>
      </c>
      <c r="U166" s="357">
        <v>136943</v>
      </c>
      <c r="X166" s="500"/>
    </row>
    <row r="167" spans="1:24">
      <c r="A167" s="349">
        <v>138</v>
      </c>
      <c r="B167" s="353" t="s">
        <v>157</v>
      </c>
      <c r="C167" s="349" t="s">
        <v>365</v>
      </c>
      <c r="D167" s="357">
        <v>9136</v>
      </c>
      <c r="E167" s="357">
        <v>9173</v>
      </c>
      <c r="F167" s="357">
        <v>9036</v>
      </c>
      <c r="G167" s="357">
        <v>8975</v>
      </c>
      <c r="H167" s="357">
        <v>9099</v>
      </c>
      <c r="I167" s="357">
        <v>9099</v>
      </c>
      <c r="J167" s="357">
        <v>9085.5391999999993</v>
      </c>
      <c r="K167" s="357">
        <v>9085.5391999999993</v>
      </c>
      <c r="L167" s="357">
        <v>9086</v>
      </c>
      <c r="M167" s="357">
        <v>9086</v>
      </c>
      <c r="N167" s="357">
        <v>8616</v>
      </c>
      <c r="O167" s="357">
        <v>34416</v>
      </c>
      <c r="P167" s="357">
        <v>34416</v>
      </c>
      <c r="Q167" s="357">
        <v>34416</v>
      </c>
      <c r="R167" s="357">
        <v>34415.5504</v>
      </c>
      <c r="S167" s="357">
        <v>34416</v>
      </c>
      <c r="T167" s="357">
        <v>34416</v>
      </c>
      <c r="U167" s="357">
        <v>34416</v>
      </c>
      <c r="X167" s="500"/>
    </row>
    <row r="168" spans="1:24">
      <c r="A168" s="349">
        <v>139</v>
      </c>
      <c r="B168" s="353" t="s">
        <v>158</v>
      </c>
      <c r="C168" s="349" t="s">
        <v>365</v>
      </c>
      <c r="D168" s="357">
        <v>20644</v>
      </c>
      <c r="E168" s="357">
        <v>20509</v>
      </c>
      <c r="F168" s="357">
        <v>20458</v>
      </c>
      <c r="G168" s="357">
        <v>20298</v>
      </c>
      <c r="H168" s="357">
        <v>20421</v>
      </c>
      <c r="I168" s="357">
        <v>20458</v>
      </c>
      <c r="J168" s="357">
        <v>20397.112000000001</v>
      </c>
      <c r="K168" s="357">
        <v>20397.112000000001</v>
      </c>
      <c r="L168" s="357">
        <v>20397</v>
      </c>
      <c r="M168" s="357">
        <v>20397</v>
      </c>
      <c r="N168" s="357">
        <v>19581</v>
      </c>
      <c r="O168" s="357">
        <v>78485</v>
      </c>
      <c r="P168" s="357">
        <v>78485</v>
      </c>
      <c r="Q168" s="357">
        <v>78485</v>
      </c>
      <c r="R168" s="357">
        <v>78484.895999999993</v>
      </c>
      <c r="S168" s="357">
        <v>78485</v>
      </c>
      <c r="T168" s="357">
        <v>78485</v>
      </c>
      <c r="U168" s="357">
        <v>78485</v>
      </c>
      <c r="X168" s="500"/>
    </row>
    <row r="169" spans="1:24">
      <c r="A169" s="349">
        <v>140</v>
      </c>
      <c r="B169" s="353" t="s">
        <v>159</v>
      </c>
      <c r="C169" s="349" t="s">
        <v>365</v>
      </c>
      <c r="D169" s="357">
        <v>28470</v>
      </c>
      <c r="E169" s="357">
        <v>28333</v>
      </c>
      <c r="F169" s="357">
        <v>28259</v>
      </c>
      <c r="G169" s="357">
        <v>27937</v>
      </c>
      <c r="H169" s="357">
        <v>28147</v>
      </c>
      <c r="I169" s="357">
        <v>28184</v>
      </c>
      <c r="J169" s="357">
        <v>28184.4048</v>
      </c>
      <c r="K169" s="357">
        <v>28184.4048</v>
      </c>
      <c r="L169" s="357">
        <v>28184</v>
      </c>
      <c r="M169" s="357">
        <v>28184</v>
      </c>
      <c r="N169" s="357">
        <v>27097</v>
      </c>
      <c r="O169" s="357">
        <v>112529</v>
      </c>
      <c r="P169" s="357">
        <v>112529</v>
      </c>
      <c r="Q169" s="357">
        <v>112529</v>
      </c>
      <c r="R169" s="357">
        <v>112528.8944</v>
      </c>
      <c r="S169" s="357">
        <v>112529</v>
      </c>
      <c r="T169" s="357">
        <v>112529</v>
      </c>
      <c r="U169" s="357">
        <v>112529</v>
      </c>
      <c r="X169" s="500"/>
    </row>
    <row r="170" spans="1:24">
      <c r="A170" s="349">
        <v>141</v>
      </c>
      <c r="B170" s="353" t="s">
        <v>160</v>
      </c>
      <c r="C170" s="349" t="s">
        <v>365</v>
      </c>
      <c r="D170" s="357">
        <v>3102</v>
      </c>
      <c r="E170" s="357">
        <v>3116</v>
      </c>
      <c r="F170" s="357">
        <v>3090</v>
      </c>
      <c r="G170" s="357">
        <v>3053</v>
      </c>
      <c r="H170" s="357">
        <v>3090</v>
      </c>
      <c r="I170" s="357">
        <v>3078</v>
      </c>
      <c r="J170" s="357">
        <v>3090.4384</v>
      </c>
      <c r="K170" s="357">
        <v>3090.4384</v>
      </c>
      <c r="L170" s="357">
        <v>3090</v>
      </c>
      <c r="M170" s="357">
        <v>3090</v>
      </c>
      <c r="N170" s="357">
        <v>2955</v>
      </c>
      <c r="O170" s="357">
        <v>11596</v>
      </c>
      <c r="P170" s="357">
        <v>11596</v>
      </c>
      <c r="Q170" s="357">
        <v>11596</v>
      </c>
      <c r="R170" s="357">
        <v>11595.700800000001</v>
      </c>
      <c r="S170" s="357">
        <v>11596</v>
      </c>
      <c r="T170" s="357">
        <v>11596</v>
      </c>
      <c r="U170" s="357">
        <v>11596</v>
      </c>
      <c r="X170" s="500"/>
    </row>
    <row r="171" spans="1:24">
      <c r="A171" s="349">
        <v>142</v>
      </c>
      <c r="B171" s="353" t="s">
        <v>161</v>
      </c>
      <c r="C171" s="349" t="s">
        <v>365</v>
      </c>
      <c r="D171" s="357">
        <v>19890</v>
      </c>
      <c r="E171" s="357">
        <v>19902</v>
      </c>
      <c r="F171" s="357">
        <v>19741</v>
      </c>
      <c r="G171" s="357">
        <v>19630</v>
      </c>
      <c r="H171" s="357">
        <v>19729</v>
      </c>
      <c r="I171" s="357">
        <v>19741</v>
      </c>
      <c r="J171" s="357">
        <v>19692.256000000001</v>
      </c>
      <c r="K171" s="357">
        <v>19692.256000000001</v>
      </c>
      <c r="L171" s="357">
        <v>19692</v>
      </c>
      <c r="M171" s="357">
        <v>19692</v>
      </c>
      <c r="N171" s="357">
        <v>18852</v>
      </c>
      <c r="O171" s="357">
        <v>73454</v>
      </c>
      <c r="P171" s="357">
        <v>73454</v>
      </c>
      <c r="Q171" s="357">
        <v>73454</v>
      </c>
      <c r="R171" s="357">
        <v>73453.644799999995</v>
      </c>
      <c r="S171" s="357">
        <v>73454</v>
      </c>
      <c r="T171" s="357">
        <v>73454</v>
      </c>
      <c r="U171" s="357">
        <v>73454</v>
      </c>
      <c r="X171" s="500"/>
    </row>
    <row r="172" spans="1:24">
      <c r="A172" s="349">
        <v>143</v>
      </c>
      <c r="B172" s="353" t="s">
        <v>162</v>
      </c>
      <c r="C172" s="349" t="s">
        <v>365</v>
      </c>
      <c r="D172" s="357">
        <v>19680</v>
      </c>
      <c r="E172" s="357">
        <v>19643</v>
      </c>
      <c r="F172" s="357">
        <v>19482</v>
      </c>
      <c r="G172" s="357">
        <v>19359</v>
      </c>
      <c r="H172" s="357">
        <v>19544</v>
      </c>
      <c r="I172" s="357">
        <v>19618</v>
      </c>
      <c r="J172" s="357">
        <v>19580.790399999998</v>
      </c>
      <c r="K172" s="357">
        <v>19580.790399999998</v>
      </c>
      <c r="L172" s="357">
        <v>19581</v>
      </c>
      <c r="M172" s="357">
        <v>19581</v>
      </c>
      <c r="N172" s="357">
        <v>18666</v>
      </c>
      <c r="O172" s="357">
        <v>77163</v>
      </c>
      <c r="P172" s="357">
        <v>77163</v>
      </c>
      <c r="Q172" s="357">
        <v>77163</v>
      </c>
      <c r="R172" s="357">
        <v>77162.607999999993</v>
      </c>
      <c r="S172" s="357">
        <v>77163</v>
      </c>
      <c r="T172" s="357">
        <v>77163</v>
      </c>
      <c r="U172" s="357">
        <v>77163</v>
      </c>
      <c r="X172" s="500"/>
    </row>
    <row r="173" spans="1:24">
      <c r="A173" s="349">
        <v>144</v>
      </c>
      <c r="B173" s="353" t="s">
        <v>163</v>
      </c>
      <c r="C173" s="349" t="s">
        <v>365</v>
      </c>
      <c r="D173" s="357">
        <v>18159</v>
      </c>
      <c r="E173" s="357">
        <v>18147</v>
      </c>
      <c r="F173" s="357">
        <v>17924</v>
      </c>
      <c r="G173" s="357">
        <v>17863</v>
      </c>
      <c r="H173" s="357">
        <v>18012</v>
      </c>
      <c r="I173" s="357">
        <v>17937</v>
      </c>
      <c r="J173" s="357">
        <v>17949.239999999998</v>
      </c>
      <c r="K173" s="357">
        <v>17949.239999999998</v>
      </c>
      <c r="L173" s="357">
        <v>17949</v>
      </c>
      <c r="M173" s="357">
        <v>17949</v>
      </c>
      <c r="N173" s="357">
        <v>17133</v>
      </c>
      <c r="O173" s="357">
        <v>72155</v>
      </c>
      <c r="P173" s="357">
        <v>72155</v>
      </c>
      <c r="Q173" s="357">
        <v>72155</v>
      </c>
      <c r="R173" s="357">
        <v>72155.398400000005</v>
      </c>
      <c r="S173" s="357">
        <v>72155</v>
      </c>
      <c r="T173" s="357">
        <v>72155</v>
      </c>
      <c r="U173" s="357">
        <v>72155</v>
      </c>
      <c r="X173" s="500"/>
    </row>
    <row r="174" spans="1:24">
      <c r="A174" s="349">
        <v>145</v>
      </c>
      <c r="B174" s="353" t="s">
        <v>164</v>
      </c>
      <c r="C174" s="349" t="s">
        <v>365</v>
      </c>
      <c r="D174" s="357">
        <v>23525</v>
      </c>
      <c r="E174" s="357">
        <v>23685</v>
      </c>
      <c r="F174" s="357">
        <v>23376</v>
      </c>
      <c r="G174" s="357">
        <v>23227</v>
      </c>
      <c r="H174" s="357">
        <v>23364</v>
      </c>
      <c r="I174" s="357">
        <v>23339</v>
      </c>
      <c r="J174" s="357">
        <v>23350.950400000002</v>
      </c>
      <c r="K174" s="357">
        <v>23350.950400000002</v>
      </c>
      <c r="L174" s="357">
        <v>23351</v>
      </c>
      <c r="M174" s="357">
        <v>23351</v>
      </c>
      <c r="N174" s="357">
        <v>22523</v>
      </c>
      <c r="O174" s="357">
        <v>92145</v>
      </c>
      <c r="P174" s="357">
        <v>92145</v>
      </c>
      <c r="Q174" s="357">
        <v>92145</v>
      </c>
      <c r="R174" s="357">
        <v>92144.895999999993</v>
      </c>
      <c r="S174" s="357">
        <v>92145</v>
      </c>
      <c r="T174" s="357">
        <v>92145</v>
      </c>
      <c r="U174" s="357">
        <v>92145</v>
      </c>
      <c r="X174" s="500"/>
    </row>
    <row r="175" spans="1:24">
      <c r="A175" s="349">
        <v>146</v>
      </c>
      <c r="B175" s="353" t="s">
        <v>165</v>
      </c>
      <c r="C175" s="349" t="s">
        <v>365</v>
      </c>
      <c r="D175" s="357">
        <v>30138</v>
      </c>
      <c r="E175" s="357">
        <v>30237</v>
      </c>
      <c r="F175" s="357">
        <v>29990</v>
      </c>
      <c r="G175" s="357">
        <v>29792</v>
      </c>
      <c r="H175" s="357">
        <v>29953</v>
      </c>
      <c r="I175" s="357">
        <v>29990</v>
      </c>
      <c r="J175" s="357">
        <v>29989.7104</v>
      </c>
      <c r="K175" s="357">
        <v>29989.7104</v>
      </c>
      <c r="L175" s="357">
        <v>29990</v>
      </c>
      <c r="M175" s="357">
        <v>29990</v>
      </c>
      <c r="N175" s="357">
        <v>28506</v>
      </c>
      <c r="O175" s="357">
        <v>112468</v>
      </c>
      <c r="P175" s="357">
        <v>112468</v>
      </c>
      <c r="Q175" s="357">
        <v>112468</v>
      </c>
      <c r="R175" s="357">
        <v>112467.6976</v>
      </c>
      <c r="S175" s="357">
        <v>112468</v>
      </c>
      <c r="T175" s="357">
        <v>112468</v>
      </c>
      <c r="U175" s="357">
        <v>112468</v>
      </c>
      <c r="X175" s="500"/>
    </row>
    <row r="176" spans="1:24">
      <c r="A176" s="349">
        <v>147</v>
      </c>
      <c r="B176" s="353" t="s">
        <v>166</v>
      </c>
      <c r="C176" s="349" t="s">
        <v>365</v>
      </c>
      <c r="D176" s="357">
        <v>29853</v>
      </c>
      <c r="E176" s="357">
        <v>29619</v>
      </c>
      <c r="F176" s="357">
        <v>29532</v>
      </c>
      <c r="G176" s="357">
        <v>29297</v>
      </c>
      <c r="H176" s="357">
        <v>29557</v>
      </c>
      <c r="I176" s="357">
        <v>29569</v>
      </c>
      <c r="J176" s="357">
        <v>29507.785599999999</v>
      </c>
      <c r="K176" s="357">
        <v>29507.785599999999</v>
      </c>
      <c r="L176" s="357">
        <v>29508</v>
      </c>
      <c r="M176" s="357">
        <v>29508</v>
      </c>
      <c r="N176" s="357">
        <v>28012</v>
      </c>
      <c r="O176" s="357">
        <v>118994</v>
      </c>
      <c r="P176" s="357">
        <v>118994</v>
      </c>
      <c r="Q176" s="357">
        <v>118994</v>
      </c>
      <c r="R176" s="357">
        <v>118993.8992</v>
      </c>
      <c r="S176" s="357">
        <v>118994</v>
      </c>
      <c r="T176" s="357">
        <v>118994</v>
      </c>
      <c r="U176" s="357">
        <v>118994</v>
      </c>
      <c r="X176" s="500"/>
    </row>
    <row r="177" spans="1:24">
      <c r="A177" s="349">
        <v>148</v>
      </c>
      <c r="B177" s="353" t="s">
        <v>167</v>
      </c>
      <c r="C177" s="349" t="s">
        <v>365</v>
      </c>
      <c r="D177" s="357">
        <v>45615</v>
      </c>
      <c r="E177" s="357">
        <v>45467</v>
      </c>
      <c r="F177" s="357">
        <v>45133</v>
      </c>
      <c r="G177" s="357">
        <v>44786</v>
      </c>
      <c r="H177" s="357">
        <v>45158</v>
      </c>
      <c r="I177" s="357">
        <v>45305</v>
      </c>
      <c r="J177" s="357">
        <v>45416.767999999996</v>
      </c>
      <c r="K177" s="357">
        <v>45416.767999999996</v>
      </c>
      <c r="L177" s="357">
        <v>45417</v>
      </c>
      <c r="M177" s="357">
        <v>45417</v>
      </c>
      <c r="N177" s="357">
        <v>43266</v>
      </c>
      <c r="O177" s="357">
        <v>182904</v>
      </c>
      <c r="P177" s="357">
        <v>182904</v>
      </c>
      <c r="Q177" s="357">
        <v>182904</v>
      </c>
      <c r="R177" s="357">
        <v>182904.12160000001</v>
      </c>
      <c r="S177" s="357">
        <v>182904</v>
      </c>
      <c r="T177" s="357">
        <v>182904</v>
      </c>
      <c r="U177" s="357">
        <v>182904</v>
      </c>
      <c r="X177" s="500"/>
    </row>
    <row r="178" spans="1:24">
      <c r="A178" s="349">
        <v>149</v>
      </c>
      <c r="B178" s="353" t="s">
        <v>168</v>
      </c>
      <c r="C178" s="349" t="s">
        <v>365</v>
      </c>
      <c r="D178" s="357">
        <v>38693</v>
      </c>
      <c r="E178" s="357">
        <v>38816</v>
      </c>
      <c r="F178" s="357">
        <v>38458</v>
      </c>
      <c r="G178" s="357">
        <v>38297</v>
      </c>
      <c r="H178" s="357">
        <v>38482</v>
      </c>
      <c r="I178" s="357">
        <v>38544</v>
      </c>
      <c r="J178" s="357">
        <v>38581.303999999996</v>
      </c>
      <c r="K178" s="357">
        <v>38581.303999999996</v>
      </c>
      <c r="L178" s="357">
        <v>38581</v>
      </c>
      <c r="M178" s="357">
        <v>38581</v>
      </c>
      <c r="N178" s="357">
        <v>36678</v>
      </c>
      <c r="O178" s="357">
        <v>148897</v>
      </c>
      <c r="P178" s="357">
        <v>148897</v>
      </c>
      <c r="Q178" s="357">
        <v>148897</v>
      </c>
      <c r="R178" s="357">
        <v>148897.27840000001</v>
      </c>
      <c r="S178" s="357">
        <v>148897</v>
      </c>
      <c r="T178" s="357">
        <v>148897</v>
      </c>
      <c r="U178" s="357">
        <v>148897</v>
      </c>
      <c r="X178" s="500"/>
    </row>
    <row r="179" spans="1:24">
      <c r="A179" s="349">
        <v>150</v>
      </c>
      <c r="B179" s="353" t="s">
        <v>169</v>
      </c>
      <c r="C179" s="349" t="s">
        <v>365</v>
      </c>
      <c r="D179" s="357">
        <v>10137</v>
      </c>
      <c r="E179" s="357">
        <v>10149</v>
      </c>
      <c r="F179" s="357">
        <v>10050</v>
      </c>
      <c r="G179" s="357">
        <v>9988</v>
      </c>
      <c r="H179" s="357">
        <v>10075</v>
      </c>
      <c r="I179" s="357">
        <v>10063</v>
      </c>
      <c r="J179" s="357">
        <v>10074.5232</v>
      </c>
      <c r="K179" s="357">
        <v>10074.5232</v>
      </c>
      <c r="L179" s="357">
        <v>10075</v>
      </c>
      <c r="M179" s="357">
        <v>10075</v>
      </c>
      <c r="N179" s="357">
        <v>9567</v>
      </c>
      <c r="O179" s="357">
        <v>37506</v>
      </c>
      <c r="P179" s="357">
        <v>37506</v>
      </c>
      <c r="Q179" s="357">
        <v>37506</v>
      </c>
      <c r="R179" s="357">
        <v>37505.988799999999</v>
      </c>
      <c r="S179" s="357">
        <v>37506</v>
      </c>
      <c r="T179" s="357">
        <v>37506</v>
      </c>
      <c r="U179" s="357">
        <v>37506</v>
      </c>
      <c r="X179" s="500"/>
    </row>
    <row r="180" spans="1:24">
      <c r="A180" s="349">
        <v>151</v>
      </c>
      <c r="B180" s="353" t="s">
        <v>170</v>
      </c>
      <c r="C180" s="349" t="s">
        <v>365</v>
      </c>
      <c r="D180" s="357">
        <v>11212</v>
      </c>
      <c r="E180" s="357">
        <v>11200</v>
      </c>
      <c r="F180" s="357">
        <v>11064</v>
      </c>
      <c r="G180" s="357">
        <v>11026</v>
      </c>
      <c r="H180" s="357">
        <v>11126</v>
      </c>
      <c r="I180" s="357">
        <v>11039</v>
      </c>
      <c r="J180" s="357">
        <v>11088.641599999999</v>
      </c>
      <c r="K180" s="357">
        <v>11088.641599999999</v>
      </c>
      <c r="L180" s="357">
        <v>11089</v>
      </c>
      <c r="M180" s="357">
        <v>11089</v>
      </c>
      <c r="N180" s="357">
        <v>10607</v>
      </c>
      <c r="O180" s="357">
        <v>40881</v>
      </c>
      <c r="P180" s="357">
        <v>40881</v>
      </c>
      <c r="Q180" s="357">
        <v>40881</v>
      </c>
      <c r="R180" s="357">
        <v>40880.555200000003</v>
      </c>
      <c r="S180" s="357">
        <v>40881</v>
      </c>
      <c r="T180" s="357">
        <v>40881</v>
      </c>
      <c r="U180" s="357">
        <v>40881</v>
      </c>
      <c r="X180" s="500"/>
    </row>
    <row r="181" spans="1:24">
      <c r="A181" s="349">
        <v>152</v>
      </c>
      <c r="B181" s="353" t="s">
        <v>171</v>
      </c>
      <c r="C181" s="349" t="s">
        <v>365</v>
      </c>
      <c r="D181" s="357">
        <v>40336</v>
      </c>
      <c r="E181" s="357">
        <v>40336</v>
      </c>
      <c r="F181" s="357">
        <v>40213</v>
      </c>
      <c r="G181" s="357">
        <v>39657</v>
      </c>
      <c r="H181" s="357">
        <v>40052</v>
      </c>
      <c r="I181" s="357">
        <v>40176</v>
      </c>
      <c r="J181" s="357">
        <v>40237.988799999999</v>
      </c>
      <c r="K181" s="357">
        <v>40237.988799999999</v>
      </c>
      <c r="L181" s="357">
        <v>40238</v>
      </c>
      <c r="M181" s="357">
        <v>40238</v>
      </c>
      <c r="N181" s="357">
        <v>38198</v>
      </c>
      <c r="O181" s="357">
        <v>155672</v>
      </c>
      <c r="P181" s="357">
        <v>155672</v>
      </c>
      <c r="Q181" s="357">
        <v>155672</v>
      </c>
      <c r="R181" s="357">
        <v>155671.54560000001</v>
      </c>
      <c r="S181" s="357">
        <v>155672</v>
      </c>
      <c r="T181" s="357">
        <v>155672</v>
      </c>
      <c r="U181" s="357">
        <v>155672</v>
      </c>
      <c r="X181" s="500"/>
    </row>
    <row r="182" spans="1:24">
      <c r="A182" s="349">
        <v>153</v>
      </c>
      <c r="B182" s="353" t="s">
        <v>172</v>
      </c>
      <c r="C182" s="349" t="s">
        <v>365</v>
      </c>
      <c r="D182" s="357">
        <v>46653</v>
      </c>
      <c r="E182" s="357">
        <v>46826</v>
      </c>
      <c r="F182" s="357">
        <v>46480</v>
      </c>
      <c r="G182" s="357">
        <v>45887</v>
      </c>
      <c r="H182" s="357">
        <v>46331</v>
      </c>
      <c r="I182" s="357">
        <v>46517</v>
      </c>
      <c r="J182" s="357">
        <v>46282.265599999999</v>
      </c>
      <c r="K182" s="357">
        <v>46282.265599999999</v>
      </c>
      <c r="L182" s="357">
        <v>46282</v>
      </c>
      <c r="M182" s="357">
        <v>46282</v>
      </c>
      <c r="N182" s="357">
        <v>44551</v>
      </c>
      <c r="O182" s="357">
        <v>187218</v>
      </c>
      <c r="P182" s="357">
        <v>187218</v>
      </c>
      <c r="Q182" s="357">
        <v>187218</v>
      </c>
      <c r="R182" s="357">
        <v>187218.49599999998</v>
      </c>
      <c r="S182" s="357">
        <v>187218</v>
      </c>
      <c r="T182" s="357">
        <v>187218</v>
      </c>
      <c r="U182" s="357">
        <v>187218</v>
      </c>
      <c r="X182" s="500"/>
    </row>
    <row r="183" spans="1:24">
      <c r="A183" s="349">
        <v>154</v>
      </c>
      <c r="B183" s="353" t="s">
        <v>173</v>
      </c>
      <c r="C183" s="349" t="s">
        <v>365</v>
      </c>
      <c r="D183" s="357">
        <v>8097</v>
      </c>
      <c r="E183" s="357">
        <v>8134</v>
      </c>
      <c r="F183" s="357">
        <v>8035</v>
      </c>
      <c r="G183" s="357">
        <v>7986</v>
      </c>
      <c r="H183" s="357">
        <v>8073</v>
      </c>
      <c r="I183" s="357">
        <v>8059</v>
      </c>
      <c r="J183" s="357">
        <v>8035.3584000000001</v>
      </c>
      <c r="K183" s="357">
        <v>8035.3584000000001</v>
      </c>
      <c r="L183" s="357">
        <v>8035</v>
      </c>
      <c r="M183" s="357">
        <v>8035</v>
      </c>
      <c r="N183" s="357">
        <v>7714</v>
      </c>
      <c r="O183" s="357">
        <v>30769</v>
      </c>
      <c r="P183" s="357">
        <v>30769</v>
      </c>
      <c r="Q183" s="357">
        <v>30769</v>
      </c>
      <c r="R183" s="357">
        <v>30768.876799999998</v>
      </c>
      <c r="S183" s="357">
        <v>30769</v>
      </c>
      <c r="T183" s="357">
        <v>30769</v>
      </c>
      <c r="U183" s="357">
        <v>30769</v>
      </c>
      <c r="X183" s="500"/>
    </row>
    <row r="184" spans="1:24">
      <c r="A184" s="349">
        <v>155</v>
      </c>
      <c r="B184" s="353" t="s">
        <v>174</v>
      </c>
      <c r="C184" s="349" t="s">
        <v>365</v>
      </c>
      <c r="D184" s="357">
        <v>10940</v>
      </c>
      <c r="E184" s="357">
        <v>11002</v>
      </c>
      <c r="F184" s="357">
        <v>10915</v>
      </c>
      <c r="G184" s="357">
        <v>10817</v>
      </c>
      <c r="H184" s="357">
        <v>10915</v>
      </c>
      <c r="I184" s="357">
        <v>10854</v>
      </c>
      <c r="J184" s="357">
        <v>10914.886399999999</v>
      </c>
      <c r="K184" s="357">
        <v>10914.886399999999</v>
      </c>
      <c r="L184" s="357">
        <v>10915</v>
      </c>
      <c r="M184" s="357">
        <v>10915</v>
      </c>
      <c r="N184" s="357">
        <v>10409</v>
      </c>
      <c r="O184" s="357">
        <v>39743</v>
      </c>
      <c r="P184" s="357">
        <v>39743</v>
      </c>
      <c r="Q184" s="357">
        <v>39743</v>
      </c>
      <c r="R184" s="357">
        <v>39742.950400000002</v>
      </c>
      <c r="S184" s="357">
        <v>39743</v>
      </c>
      <c r="T184" s="357">
        <v>39743</v>
      </c>
      <c r="U184" s="357">
        <v>39743</v>
      </c>
      <c r="X184" s="500"/>
    </row>
    <row r="185" spans="1:24">
      <c r="A185" s="349">
        <v>156</v>
      </c>
      <c r="B185" s="353" t="s">
        <v>175</v>
      </c>
      <c r="C185" s="349" t="s">
        <v>365</v>
      </c>
      <c r="D185" s="357">
        <v>14005</v>
      </c>
      <c r="E185" s="357">
        <v>13993</v>
      </c>
      <c r="F185" s="357">
        <v>13870</v>
      </c>
      <c r="G185" s="357">
        <v>13833</v>
      </c>
      <c r="H185" s="357">
        <v>13870</v>
      </c>
      <c r="I185" s="357">
        <v>13956</v>
      </c>
      <c r="J185" s="357">
        <v>13857.7968</v>
      </c>
      <c r="K185" s="357">
        <v>13857.7968</v>
      </c>
      <c r="L185" s="357">
        <v>13858</v>
      </c>
      <c r="M185" s="357">
        <v>13858</v>
      </c>
      <c r="N185" s="357">
        <v>13326</v>
      </c>
      <c r="O185" s="357">
        <v>53552</v>
      </c>
      <c r="P185" s="357">
        <v>53552</v>
      </c>
      <c r="Q185" s="357">
        <v>53552</v>
      </c>
      <c r="R185" s="357">
        <v>53551.571199999998</v>
      </c>
      <c r="S185" s="357">
        <v>53552</v>
      </c>
      <c r="T185" s="357">
        <v>53552</v>
      </c>
      <c r="U185" s="357">
        <v>53552</v>
      </c>
      <c r="X185" s="500"/>
    </row>
    <row r="186" spans="1:24">
      <c r="A186" s="349">
        <v>157</v>
      </c>
      <c r="B186" s="353" t="s">
        <v>176</v>
      </c>
      <c r="C186" s="349" t="s">
        <v>365</v>
      </c>
      <c r="D186" s="357">
        <v>15539</v>
      </c>
      <c r="E186" s="357">
        <v>15464</v>
      </c>
      <c r="F186" s="357">
        <v>15341</v>
      </c>
      <c r="G186" s="357">
        <v>15205</v>
      </c>
      <c r="H186" s="357">
        <v>15403</v>
      </c>
      <c r="I186" s="357">
        <v>15366</v>
      </c>
      <c r="J186" s="357">
        <v>15365.8608</v>
      </c>
      <c r="K186" s="357">
        <v>15365.8608</v>
      </c>
      <c r="L186" s="357">
        <v>15366</v>
      </c>
      <c r="M186" s="357">
        <v>15366</v>
      </c>
      <c r="N186" s="357">
        <v>14587</v>
      </c>
      <c r="O186" s="357">
        <v>59126</v>
      </c>
      <c r="P186" s="357">
        <v>59126</v>
      </c>
      <c r="Q186" s="357">
        <v>59126</v>
      </c>
      <c r="R186" s="357">
        <v>59125.944000000003</v>
      </c>
      <c r="S186" s="357">
        <v>59126</v>
      </c>
      <c r="T186" s="357">
        <v>59126</v>
      </c>
      <c r="U186" s="357">
        <v>59126</v>
      </c>
      <c r="X186" s="500"/>
    </row>
    <row r="187" spans="1:24">
      <c r="A187" s="349">
        <v>158</v>
      </c>
      <c r="B187" s="353" t="s">
        <v>177</v>
      </c>
      <c r="C187" s="349" t="s">
        <v>365</v>
      </c>
      <c r="D187" s="357">
        <v>17220</v>
      </c>
      <c r="E187" s="357">
        <v>17294</v>
      </c>
      <c r="F187" s="357">
        <v>17072</v>
      </c>
      <c r="G187" s="357">
        <v>16948</v>
      </c>
      <c r="H187" s="357">
        <v>17146</v>
      </c>
      <c r="I187" s="357">
        <v>17183</v>
      </c>
      <c r="J187" s="357">
        <v>17071.721600000001</v>
      </c>
      <c r="K187" s="357">
        <v>17071.721600000001</v>
      </c>
      <c r="L187" s="357">
        <v>17072</v>
      </c>
      <c r="M187" s="357">
        <v>17072</v>
      </c>
      <c r="N187" s="357">
        <v>16503</v>
      </c>
      <c r="O187" s="357">
        <v>69004</v>
      </c>
      <c r="P187" s="357">
        <v>69004</v>
      </c>
      <c r="Q187" s="357">
        <v>69004</v>
      </c>
      <c r="R187" s="357">
        <v>69003.763200000001</v>
      </c>
      <c r="S187" s="357">
        <v>69004</v>
      </c>
      <c r="T187" s="357">
        <v>69004</v>
      </c>
      <c r="U187" s="357">
        <v>69004</v>
      </c>
      <c r="X187" s="500"/>
    </row>
    <row r="188" spans="1:24">
      <c r="A188" s="349">
        <v>159</v>
      </c>
      <c r="B188" s="353" t="s">
        <v>178</v>
      </c>
      <c r="C188" s="349" t="s">
        <v>365</v>
      </c>
      <c r="D188" s="357">
        <v>8294</v>
      </c>
      <c r="E188" s="357">
        <v>8332</v>
      </c>
      <c r="F188" s="357">
        <v>8233</v>
      </c>
      <c r="G188" s="357">
        <v>8208</v>
      </c>
      <c r="H188" s="357">
        <v>8257</v>
      </c>
      <c r="I188" s="357">
        <v>8270</v>
      </c>
      <c r="J188" s="357">
        <v>8270.3104000000003</v>
      </c>
      <c r="K188" s="357">
        <v>8270.3104000000003</v>
      </c>
      <c r="L188" s="357">
        <v>8270</v>
      </c>
      <c r="M188" s="357">
        <v>8270</v>
      </c>
      <c r="N188" s="357">
        <v>7961</v>
      </c>
      <c r="O188" s="357">
        <v>31461</v>
      </c>
      <c r="P188" s="357">
        <v>31461</v>
      </c>
      <c r="Q188" s="357">
        <v>31461</v>
      </c>
      <c r="R188" s="357">
        <v>31460.619200000001</v>
      </c>
      <c r="S188" s="357">
        <v>31461</v>
      </c>
      <c r="T188" s="357">
        <v>31461</v>
      </c>
      <c r="U188" s="357">
        <v>31461</v>
      </c>
      <c r="X188" s="500"/>
    </row>
    <row r="189" spans="1:24">
      <c r="A189" s="349">
        <v>160</v>
      </c>
      <c r="B189" s="353" t="s">
        <v>179</v>
      </c>
      <c r="C189" s="349" t="s">
        <v>365</v>
      </c>
      <c r="D189" s="357">
        <v>4710</v>
      </c>
      <c r="E189" s="357">
        <v>4710</v>
      </c>
      <c r="F189" s="357">
        <v>4648</v>
      </c>
      <c r="G189" s="357">
        <v>4624</v>
      </c>
      <c r="H189" s="357">
        <v>4673</v>
      </c>
      <c r="I189" s="357">
        <v>4648</v>
      </c>
      <c r="J189" s="357">
        <v>4647.6783999999998</v>
      </c>
      <c r="K189" s="357">
        <v>4647.6783999999998</v>
      </c>
      <c r="L189" s="357">
        <v>4648</v>
      </c>
      <c r="M189" s="357">
        <v>4648</v>
      </c>
      <c r="N189" s="357">
        <v>4426</v>
      </c>
      <c r="O189" s="357">
        <v>18444</v>
      </c>
      <c r="P189" s="357">
        <v>18444</v>
      </c>
      <c r="Q189" s="357">
        <v>18444</v>
      </c>
      <c r="R189" s="357">
        <v>18444.278399999999</v>
      </c>
      <c r="S189" s="357">
        <v>18444</v>
      </c>
      <c r="T189" s="357">
        <v>18444</v>
      </c>
      <c r="U189" s="357">
        <v>18444</v>
      </c>
      <c r="X189" s="500"/>
    </row>
    <row r="190" spans="1:24">
      <c r="A190" s="349">
        <v>161</v>
      </c>
      <c r="B190" s="353" t="s">
        <v>180</v>
      </c>
      <c r="C190" s="349" t="s">
        <v>365</v>
      </c>
      <c r="D190" s="357">
        <v>4833</v>
      </c>
      <c r="E190" s="357">
        <v>4821</v>
      </c>
      <c r="F190" s="357">
        <v>4796</v>
      </c>
      <c r="G190" s="357">
        <v>4759</v>
      </c>
      <c r="H190" s="357">
        <v>4796</v>
      </c>
      <c r="I190" s="357">
        <v>4808</v>
      </c>
      <c r="J190" s="357">
        <v>4784.2784000000001</v>
      </c>
      <c r="K190" s="357">
        <v>4784.2784000000001</v>
      </c>
      <c r="L190" s="357">
        <v>4784</v>
      </c>
      <c r="M190" s="357">
        <v>4784</v>
      </c>
      <c r="N190" s="357">
        <v>4561</v>
      </c>
      <c r="O190" s="357">
        <v>19272</v>
      </c>
      <c r="P190" s="357">
        <v>19272</v>
      </c>
      <c r="Q190" s="357">
        <v>19272</v>
      </c>
      <c r="R190" s="357">
        <v>19271.527999999998</v>
      </c>
      <c r="S190" s="357">
        <v>19272</v>
      </c>
      <c r="T190" s="357">
        <v>19272</v>
      </c>
      <c r="U190" s="357">
        <v>19272</v>
      </c>
      <c r="X190" s="500"/>
    </row>
    <row r="191" spans="1:24">
      <c r="A191" s="349">
        <v>162</v>
      </c>
      <c r="B191" s="353" t="s">
        <v>181</v>
      </c>
      <c r="C191" s="349" t="s">
        <v>365</v>
      </c>
      <c r="D191" s="357">
        <v>5143</v>
      </c>
      <c r="E191" s="357">
        <v>5106</v>
      </c>
      <c r="F191" s="357">
        <v>5080</v>
      </c>
      <c r="G191" s="357">
        <v>5043</v>
      </c>
      <c r="H191" s="357">
        <v>5080</v>
      </c>
      <c r="I191" s="357">
        <v>5056</v>
      </c>
      <c r="J191" s="357">
        <v>5093.5407999999998</v>
      </c>
      <c r="K191" s="357">
        <v>5093.5407999999998</v>
      </c>
      <c r="L191" s="357">
        <v>5094</v>
      </c>
      <c r="M191" s="357">
        <v>5094</v>
      </c>
      <c r="N191" s="357">
        <v>4833</v>
      </c>
      <c r="O191" s="357">
        <v>19346</v>
      </c>
      <c r="P191" s="357">
        <v>19346</v>
      </c>
      <c r="Q191" s="357">
        <v>19346</v>
      </c>
      <c r="R191" s="357">
        <v>19345.838400000001</v>
      </c>
      <c r="S191" s="357">
        <v>19346</v>
      </c>
      <c r="T191" s="357">
        <v>19346</v>
      </c>
      <c r="U191" s="357">
        <v>19346</v>
      </c>
      <c r="X191" s="500"/>
    </row>
    <row r="192" spans="1:24">
      <c r="A192" s="349">
        <v>163</v>
      </c>
      <c r="B192" s="353" t="s">
        <v>182</v>
      </c>
      <c r="C192" s="349" t="s">
        <v>365</v>
      </c>
      <c r="D192" s="357">
        <v>6527</v>
      </c>
      <c r="E192" s="357">
        <v>6514</v>
      </c>
      <c r="F192" s="357">
        <v>6477</v>
      </c>
      <c r="G192" s="357">
        <v>6428</v>
      </c>
      <c r="H192" s="357">
        <v>6490</v>
      </c>
      <c r="I192" s="357">
        <v>6502</v>
      </c>
      <c r="J192" s="357">
        <v>6490.1391999999996</v>
      </c>
      <c r="K192" s="357">
        <v>6490.1391999999996</v>
      </c>
      <c r="L192" s="357">
        <v>6490</v>
      </c>
      <c r="M192" s="357">
        <v>6490</v>
      </c>
      <c r="N192" s="357">
        <v>6156</v>
      </c>
      <c r="O192" s="357">
        <v>24909</v>
      </c>
      <c r="P192" s="357">
        <v>24909</v>
      </c>
      <c r="Q192" s="357">
        <v>24909</v>
      </c>
      <c r="R192" s="357">
        <v>24909.283199999998</v>
      </c>
      <c r="S192" s="357">
        <v>24909</v>
      </c>
      <c r="T192" s="357">
        <v>24909</v>
      </c>
      <c r="U192" s="357">
        <v>24909</v>
      </c>
      <c r="X192" s="500"/>
    </row>
    <row r="193" spans="1:24">
      <c r="A193" s="349">
        <v>164</v>
      </c>
      <c r="B193" s="353" t="s">
        <v>183</v>
      </c>
      <c r="C193" s="349" t="s">
        <v>365</v>
      </c>
      <c r="D193" s="357">
        <v>16293</v>
      </c>
      <c r="E193" s="357">
        <v>16206</v>
      </c>
      <c r="F193" s="357">
        <v>16144</v>
      </c>
      <c r="G193" s="357">
        <v>15959</v>
      </c>
      <c r="H193" s="357">
        <v>16132</v>
      </c>
      <c r="I193" s="357">
        <v>16083</v>
      </c>
      <c r="J193" s="357">
        <v>16131.9136</v>
      </c>
      <c r="K193" s="357">
        <v>16131.9136</v>
      </c>
      <c r="L193" s="357">
        <v>16132</v>
      </c>
      <c r="M193" s="357">
        <v>16132</v>
      </c>
      <c r="N193" s="357">
        <v>15514</v>
      </c>
      <c r="O193" s="357">
        <v>62698</v>
      </c>
      <c r="P193" s="357">
        <v>62698</v>
      </c>
      <c r="Q193" s="357">
        <v>62698</v>
      </c>
      <c r="R193" s="357">
        <v>62698.307199999996</v>
      </c>
      <c r="S193" s="357">
        <v>62698</v>
      </c>
      <c r="T193" s="357">
        <v>62698</v>
      </c>
      <c r="U193" s="357">
        <v>62698</v>
      </c>
      <c r="X193" s="500"/>
    </row>
    <row r="194" spans="1:24">
      <c r="A194" s="349">
        <v>165</v>
      </c>
      <c r="B194" s="353" t="s">
        <v>184</v>
      </c>
      <c r="C194" s="349" t="s">
        <v>365</v>
      </c>
      <c r="D194" s="357">
        <v>24377</v>
      </c>
      <c r="E194" s="357">
        <v>24414</v>
      </c>
      <c r="F194" s="357">
        <v>24179</v>
      </c>
      <c r="G194" s="357">
        <v>23995</v>
      </c>
      <c r="H194" s="357">
        <v>24155</v>
      </c>
      <c r="I194" s="357">
        <v>24167</v>
      </c>
      <c r="J194" s="357">
        <v>24179.292799999999</v>
      </c>
      <c r="K194" s="357">
        <v>24179.292799999999</v>
      </c>
      <c r="L194" s="357">
        <v>24179</v>
      </c>
      <c r="M194" s="357">
        <v>24179</v>
      </c>
      <c r="N194" s="357">
        <v>23178</v>
      </c>
      <c r="O194" s="357">
        <v>93912</v>
      </c>
      <c r="P194" s="357">
        <v>93912</v>
      </c>
      <c r="Q194" s="357">
        <v>93912</v>
      </c>
      <c r="R194" s="357">
        <v>93911.953599999993</v>
      </c>
      <c r="S194" s="357">
        <v>93912</v>
      </c>
      <c r="T194" s="357">
        <v>93912</v>
      </c>
      <c r="U194" s="357">
        <v>93912</v>
      </c>
      <c r="X194" s="500"/>
    </row>
    <row r="195" spans="1:24">
      <c r="A195" s="349">
        <v>166</v>
      </c>
      <c r="B195" s="353" t="s">
        <v>185</v>
      </c>
      <c r="C195" s="349" t="s">
        <v>365</v>
      </c>
      <c r="D195" s="357">
        <v>53341</v>
      </c>
      <c r="E195" s="357">
        <v>53119</v>
      </c>
      <c r="F195" s="357">
        <v>52896</v>
      </c>
      <c r="G195" s="357">
        <v>52451</v>
      </c>
      <c r="H195" s="357">
        <v>52760</v>
      </c>
      <c r="I195" s="357">
        <v>52698</v>
      </c>
      <c r="J195" s="357">
        <v>52958.180800000002</v>
      </c>
      <c r="K195" s="357">
        <v>52958.180800000002</v>
      </c>
      <c r="L195" s="357">
        <v>52958</v>
      </c>
      <c r="M195" s="357">
        <v>52958</v>
      </c>
      <c r="N195" s="357">
        <v>50350</v>
      </c>
      <c r="O195" s="357">
        <v>201893</v>
      </c>
      <c r="P195" s="357">
        <v>201893</v>
      </c>
      <c r="Q195" s="357">
        <v>201893</v>
      </c>
      <c r="R195" s="357">
        <v>201892.61439999999</v>
      </c>
      <c r="S195" s="357">
        <v>201893</v>
      </c>
      <c r="T195" s="357">
        <v>201893</v>
      </c>
      <c r="U195" s="357">
        <v>201893</v>
      </c>
      <c r="X195" s="500"/>
    </row>
    <row r="196" spans="1:24">
      <c r="A196" s="349">
        <v>167</v>
      </c>
      <c r="B196" s="353" t="s">
        <v>186</v>
      </c>
      <c r="C196" s="349" t="s">
        <v>365</v>
      </c>
      <c r="D196" s="357">
        <v>14068</v>
      </c>
      <c r="E196" s="357">
        <v>14056</v>
      </c>
      <c r="F196" s="357">
        <v>13907</v>
      </c>
      <c r="G196" s="357">
        <v>13821</v>
      </c>
      <c r="H196" s="357">
        <v>13956</v>
      </c>
      <c r="I196" s="357">
        <v>13944</v>
      </c>
      <c r="J196" s="357">
        <v>13894.951999999999</v>
      </c>
      <c r="K196" s="357">
        <v>13894.951999999999</v>
      </c>
      <c r="L196" s="357">
        <v>13895</v>
      </c>
      <c r="M196" s="357">
        <v>13895</v>
      </c>
      <c r="N196" s="357">
        <v>13239</v>
      </c>
      <c r="O196" s="357">
        <v>54367</v>
      </c>
      <c r="P196" s="357">
        <v>54367</v>
      </c>
      <c r="Q196" s="357">
        <v>54367</v>
      </c>
      <c r="R196" s="357">
        <v>54366.8</v>
      </c>
      <c r="S196" s="357">
        <v>54367</v>
      </c>
      <c r="T196" s="357">
        <v>54367</v>
      </c>
      <c r="U196" s="357">
        <v>54367</v>
      </c>
      <c r="X196" s="500"/>
    </row>
    <row r="197" spans="1:24">
      <c r="A197" s="349">
        <v>168</v>
      </c>
      <c r="B197" s="353" t="s">
        <v>187</v>
      </c>
      <c r="C197" s="349" t="s">
        <v>365</v>
      </c>
      <c r="D197" s="357">
        <v>54923</v>
      </c>
      <c r="E197" s="357">
        <v>55307</v>
      </c>
      <c r="F197" s="357">
        <v>54812</v>
      </c>
      <c r="G197" s="357">
        <v>54181</v>
      </c>
      <c r="H197" s="357">
        <v>54874</v>
      </c>
      <c r="I197" s="357">
        <v>54503</v>
      </c>
      <c r="J197" s="357">
        <v>54676.062400000003</v>
      </c>
      <c r="K197" s="357">
        <v>54676.062400000003</v>
      </c>
      <c r="L197" s="357">
        <v>54676</v>
      </c>
      <c r="M197" s="357">
        <v>54676</v>
      </c>
      <c r="N197" s="357">
        <v>51944</v>
      </c>
      <c r="O197" s="357">
        <v>207492</v>
      </c>
      <c r="P197" s="357">
        <v>207492</v>
      </c>
      <c r="Q197" s="357">
        <v>207492</v>
      </c>
      <c r="R197" s="357">
        <v>207492.12160000001</v>
      </c>
      <c r="S197" s="357">
        <v>207492</v>
      </c>
      <c r="T197" s="357">
        <v>207492</v>
      </c>
      <c r="U197" s="357">
        <v>207492</v>
      </c>
      <c r="X197" s="500"/>
    </row>
    <row r="198" spans="1:24">
      <c r="A198" s="349">
        <v>169</v>
      </c>
      <c r="B198" s="353" t="s">
        <v>188</v>
      </c>
      <c r="C198" s="349" t="s">
        <v>365</v>
      </c>
      <c r="D198" s="357">
        <v>199766</v>
      </c>
      <c r="E198" s="357">
        <v>198344</v>
      </c>
      <c r="F198" s="357">
        <v>198134</v>
      </c>
      <c r="G198" s="357">
        <v>195624</v>
      </c>
      <c r="H198" s="357">
        <v>197392</v>
      </c>
      <c r="I198" s="357">
        <v>197022</v>
      </c>
      <c r="J198" s="357">
        <v>197169.53279999999</v>
      </c>
      <c r="K198" s="357">
        <v>197169.53279999999</v>
      </c>
      <c r="L198" s="357">
        <v>197170</v>
      </c>
      <c r="M198" s="357">
        <v>197170</v>
      </c>
      <c r="N198" s="357">
        <v>188826</v>
      </c>
      <c r="O198" s="357">
        <v>799299</v>
      </c>
      <c r="P198" s="357">
        <v>799299</v>
      </c>
      <c r="Q198" s="357">
        <v>799299</v>
      </c>
      <c r="R198" s="357">
        <v>799299.05440000002</v>
      </c>
      <c r="S198" s="357">
        <v>799299</v>
      </c>
      <c r="T198" s="357">
        <v>799299</v>
      </c>
      <c r="U198" s="357">
        <v>799299</v>
      </c>
      <c r="X198" s="500"/>
    </row>
    <row r="199" spans="1:24">
      <c r="A199" s="349">
        <v>170</v>
      </c>
      <c r="B199" s="353" t="s">
        <v>189</v>
      </c>
      <c r="C199" s="349" t="s">
        <v>365</v>
      </c>
      <c r="D199" s="357">
        <v>40472</v>
      </c>
      <c r="E199" s="357">
        <v>40571</v>
      </c>
      <c r="F199" s="357">
        <v>40201</v>
      </c>
      <c r="G199" s="357">
        <v>40064</v>
      </c>
      <c r="H199" s="357">
        <v>40113</v>
      </c>
      <c r="I199" s="357">
        <v>40423</v>
      </c>
      <c r="J199" s="357">
        <v>40398.630400000002</v>
      </c>
      <c r="K199" s="357">
        <v>40398.630400000002</v>
      </c>
      <c r="L199" s="357">
        <v>40399</v>
      </c>
      <c r="M199" s="357">
        <v>40399</v>
      </c>
      <c r="N199" s="357">
        <v>38717</v>
      </c>
      <c r="O199" s="357">
        <v>148946</v>
      </c>
      <c r="P199" s="357">
        <v>148946</v>
      </c>
      <c r="Q199" s="357">
        <v>148946</v>
      </c>
      <c r="R199" s="357">
        <v>148946.45439999999</v>
      </c>
      <c r="S199" s="357">
        <v>148946</v>
      </c>
      <c r="T199" s="357">
        <v>148946</v>
      </c>
      <c r="U199" s="357">
        <v>148946</v>
      </c>
      <c r="X199" s="500"/>
    </row>
    <row r="200" spans="1:24">
      <c r="A200" s="349">
        <v>171</v>
      </c>
      <c r="B200" s="353" t="s">
        <v>190</v>
      </c>
      <c r="C200" s="349" t="s">
        <v>365</v>
      </c>
      <c r="D200" s="357">
        <v>35577</v>
      </c>
      <c r="E200" s="357">
        <v>35417</v>
      </c>
      <c r="F200" s="357">
        <v>35244</v>
      </c>
      <c r="G200" s="357">
        <v>34922</v>
      </c>
      <c r="H200" s="357">
        <v>35144</v>
      </c>
      <c r="I200" s="357">
        <v>35219</v>
      </c>
      <c r="J200" s="357">
        <v>35169.582399999999</v>
      </c>
      <c r="K200" s="357">
        <v>35169.582399999999</v>
      </c>
      <c r="L200" s="357">
        <v>35170</v>
      </c>
      <c r="M200" s="357">
        <v>35170</v>
      </c>
      <c r="N200" s="357">
        <v>33464</v>
      </c>
      <c r="O200" s="357">
        <v>136498</v>
      </c>
      <c r="P200" s="357">
        <v>136498</v>
      </c>
      <c r="Q200" s="357">
        <v>136498</v>
      </c>
      <c r="R200" s="357">
        <v>136498.36960000001</v>
      </c>
      <c r="S200" s="357">
        <v>136498</v>
      </c>
      <c r="T200" s="357">
        <v>136498</v>
      </c>
      <c r="U200" s="357">
        <v>136498</v>
      </c>
      <c r="X200" s="500"/>
    </row>
    <row r="201" spans="1:24">
      <c r="A201" s="349">
        <v>172</v>
      </c>
      <c r="B201" s="353" t="s">
        <v>191</v>
      </c>
      <c r="C201" s="349" t="s">
        <v>365</v>
      </c>
      <c r="D201" s="357">
        <v>109166</v>
      </c>
      <c r="E201" s="357">
        <v>109253</v>
      </c>
      <c r="F201" s="357">
        <v>108190</v>
      </c>
      <c r="G201" s="357">
        <v>107102</v>
      </c>
      <c r="H201" s="357">
        <v>108647</v>
      </c>
      <c r="I201" s="357">
        <v>107942</v>
      </c>
      <c r="J201" s="357">
        <v>107806.9056</v>
      </c>
      <c r="K201" s="357">
        <v>107806.9056</v>
      </c>
      <c r="L201" s="357">
        <v>107807</v>
      </c>
      <c r="M201" s="357">
        <v>107807</v>
      </c>
      <c r="N201" s="357">
        <v>103641</v>
      </c>
      <c r="O201" s="357">
        <v>396949</v>
      </c>
      <c r="P201" s="357">
        <v>396949</v>
      </c>
      <c r="Q201" s="357">
        <v>396949</v>
      </c>
      <c r="R201" s="357">
        <v>396948.67200000002</v>
      </c>
      <c r="S201" s="357">
        <v>396949</v>
      </c>
      <c r="T201" s="357">
        <v>396949</v>
      </c>
      <c r="U201" s="357">
        <v>396949</v>
      </c>
      <c r="X201" s="500"/>
    </row>
    <row r="202" spans="1:24">
      <c r="A202" s="349">
        <v>173</v>
      </c>
      <c r="B202" s="353" t="s">
        <v>192</v>
      </c>
      <c r="C202" s="349" t="s">
        <v>365</v>
      </c>
      <c r="D202" s="357">
        <v>46678</v>
      </c>
      <c r="E202" s="357">
        <v>46901</v>
      </c>
      <c r="F202" s="357">
        <v>46419</v>
      </c>
      <c r="G202" s="357">
        <v>46047</v>
      </c>
      <c r="H202" s="357">
        <v>46455</v>
      </c>
      <c r="I202" s="357">
        <v>46196</v>
      </c>
      <c r="J202" s="357">
        <v>46454.928</v>
      </c>
      <c r="K202" s="357">
        <v>46454.928</v>
      </c>
      <c r="L202" s="357">
        <v>46455</v>
      </c>
      <c r="M202" s="357">
        <v>46455</v>
      </c>
      <c r="N202" s="357">
        <v>44094</v>
      </c>
      <c r="O202" s="357">
        <v>178949</v>
      </c>
      <c r="P202" s="357">
        <v>178949</v>
      </c>
      <c r="Q202" s="357">
        <v>178949</v>
      </c>
      <c r="R202" s="357">
        <v>178949.27840000001</v>
      </c>
      <c r="S202" s="357">
        <v>178949</v>
      </c>
      <c r="T202" s="357">
        <v>178949</v>
      </c>
      <c r="U202" s="357">
        <v>178949</v>
      </c>
      <c r="X202" s="500"/>
    </row>
    <row r="203" spans="1:24">
      <c r="A203" s="349">
        <v>174</v>
      </c>
      <c r="B203" s="353" t="s">
        <v>193</v>
      </c>
      <c r="C203" s="349" t="s">
        <v>365</v>
      </c>
      <c r="D203" s="357">
        <v>24909</v>
      </c>
      <c r="E203" s="357">
        <v>24996</v>
      </c>
      <c r="F203" s="357">
        <v>24859</v>
      </c>
      <c r="G203" s="357">
        <v>24514</v>
      </c>
      <c r="H203" s="357">
        <v>24698</v>
      </c>
      <c r="I203" s="357">
        <v>24773</v>
      </c>
      <c r="J203" s="357">
        <v>24821.859199999999</v>
      </c>
      <c r="K203" s="357">
        <v>24821.859199999999</v>
      </c>
      <c r="L203" s="357">
        <v>24822</v>
      </c>
      <c r="M203" s="357">
        <v>24822</v>
      </c>
      <c r="N203" s="357">
        <v>23537</v>
      </c>
      <c r="O203" s="357">
        <v>92404</v>
      </c>
      <c r="P203" s="357">
        <v>92404</v>
      </c>
      <c r="Q203" s="357">
        <v>92404</v>
      </c>
      <c r="R203" s="357">
        <v>92403.889599999995</v>
      </c>
      <c r="S203" s="357">
        <v>92404</v>
      </c>
      <c r="T203" s="357">
        <v>92404</v>
      </c>
      <c r="U203" s="357">
        <v>92404</v>
      </c>
      <c r="X203" s="500"/>
    </row>
    <row r="204" spans="1:24">
      <c r="A204" s="349">
        <v>175</v>
      </c>
      <c r="B204" s="353" t="s">
        <v>194</v>
      </c>
      <c r="C204" s="349" t="s">
        <v>365</v>
      </c>
      <c r="D204" s="357">
        <v>15254</v>
      </c>
      <c r="E204" s="357">
        <v>15242</v>
      </c>
      <c r="F204" s="357">
        <v>15119</v>
      </c>
      <c r="G204" s="357">
        <v>15045</v>
      </c>
      <c r="H204" s="357">
        <v>15143</v>
      </c>
      <c r="I204" s="357">
        <v>15168</v>
      </c>
      <c r="J204" s="357">
        <v>15105.7744</v>
      </c>
      <c r="K204" s="357">
        <v>15105.7744</v>
      </c>
      <c r="L204" s="357">
        <v>15106</v>
      </c>
      <c r="M204" s="357">
        <v>15106</v>
      </c>
      <c r="N204" s="357">
        <v>14401</v>
      </c>
      <c r="O204" s="357">
        <v>60696</v>
      </c>
      <c r="P204" s="357">
        <v>60696</v>
      </c>
      <c r="Q204" s="357">
        <v>60696</v>
      </c>
      <c r="R204" s="357">
        <v>60696.297599999998</v>
      </c>
      <c r="S204" s="357">
        <v>60696</v>
      </c>
      <c r="T204" s="357">
        <v>60696</v>
      </c>
      <c r="U204" s="357">
        <v>60696</v>
      </c>
      <c r="X204" s="500"/>
    </row>
    <row r="205" spans="1:24">
      <c r="A205" s="349">
        <v>176</v>
      </c>
      <c r="B205" s="353" t="s">
        <v>195</v>
      </c>
      <c r="C205" s="349" t="s">
        <v>365</v>
      </c>
      <c r="D205" s="357">
        <v>11756</v>
      </c>
      <c r="E205" s="357">
        <v>11768</v>
      </c>
      <c r="F205" s="357">
        <v>11657</v>
      </c>
      <c r="G205" s="357">
        <v>11571</v>
      </c>
      <c r="H205" s="357">
        <v>11633</v>
      </c>
      <c r="I205" s="357">
        <v>11608</v>
      </c>
      <c r="J205" s="357">
        <v>11607.721600000001</v>
      </c>
      <c r="K205" s="357">
        <v>11607.721600000001</v>
      </c>
      <c r="L205" s="357">
        <v>11608</v>
      </c>
      <c r="M205" s="357">
        <v>11608</v>
      </c>
      <c r="N205" s="357">
        <v>11089</v>
      </c>
      <c r="O205" s="357">
        <v>46184</v>
      </c>
      <c r="P205" s="357">
        <v>46184</v>
      </c>
      <c r="Q205" s="357">
        <v>46184</v>
      </c>
      <c r="R205" s="357">
        <v>46183.9136</v>
      </c>
      <c r="S205" s="357">
        <v>46184</v>
      </c>
      <c r="T205" s="357">
        <v>46184</v>
      </c>
      <c r="U205" s="357">
        <v>46184</v>
      </c>
      <c r="X205" s="500"/>
    </row>
    <row r="206" spans="1:24">
      <c r="A206" s="349">
        <v>177</v>
      </c>
      <c r="B206" s="353" t="s">
        <v>196</v>
      </c>
      <c r="C206" s="349" t="s">
        <v>365</v>
      </c>
      <c r="D206" s="357">
        <v>6069</v>
      </c>
      <c r="E206" s="357">
        <v>6095</v>
      </c>
      <c r="F206" s="357">
        <v>6045</v>
      </c>
      <c r="G206" s="357">
        <v>5995</v>
      </c>
      <c r="H206" s="357">
        <v>6045</v>
      </c>
      <c r="I206" s="357">
        <v>6045</v>
      </c>
      <c r="J206" s="357">
        <v>6020.2352000000001</v>
      </c>
      <c r="K206" s="357">
        <v>6020.2352000000001</v>
      </c>
      <c r="L206" s="357">
        <v>6020</v>
      </c>
      <c r="M206" s="357">
        <v>6020</v>
      </c>
      <c r="N206" s="357">
        <v>5773</v>
      </c>
      <c r="O206" s="357">
        <v>22264</v>
      </c>
      <c r="P206" s="357">
        <v>22264</v>
      </c>
      <c r="Q206" s="357">
        <v>22264</v>
      </c>
      <c r="R206" s="357">
        <v>22263.614399999999</v>
      </c>
      <c r="S206" s="357">
        <v>22264</v>
      </c>
      <c r="T206" s="357">
        <v>22264</v>
      </c>
      <c r="U206" s="357">
        <v>22264</v>
      </c>
      <c r="X206" s="500"/>
    </row>
    <row r="207" spans="1:24">
      <c r="A207" s="349">
        <v>178</v>
      </c>
      <c r="B207" s="353" t="s">
        <v>197</v>
      </c>
      <c r="C207" s="349" t="s">
        <v>365</v>
      </c>
      <c r="D207" s="357">
        <v>7491</v>
      </c>
      <c r="E207" s="357">
        <v>7442</v>
      </c>
      <c r="F207" s="357">
        <v>7405</v>
      </c>
      <c r="G207" s="357">
        <v>7368</v>
      </c>
      <c r="H207" s="357">
        <v>7405</v>
      </c>
      <c r="I207" s="357">
        <v>7405</v>
      </c>
      <c r="J207" s="357">
        <v>7392.7919999999995</v>
      </c>
      <c r="K207" s="357">
        <v>7392.7919999999995</v>
      </c>
      <c r="L207" s="357">
        <v>7393</v>
      </c>
      <c r="M207" s="357">
        <v>7393</v>
      </c>
      <c r="N207" s="357">
        <v>7108</v>
      </c>
      <c r="O207" s="357">
        <v>29643</v>
      </c>
      <c r="P207" s="357">
        <v>29643</v>
      </c>
      <c r="Q207" s="357">
        <v>29643</v>
      </c>
      <c r="R207" s="357">
        <v>29643.292799999999</v>
      </c>
      <c r="S207" s="357">
        <v>29643</v>
      </c>
      <c r="T207" s="357">
        <v>29643</v>
      </c>
      <c r="U207" s="357">
        <v>29643</v>
      </c>
      <c r="X207" s="500"/>
    </row>
    <row r="208" spans="1:24">
      <c r="A208" s="349">
        <v>179</v>
      </c>
      <c r="B208" s="353" t="s">
        <v>198</v>
      </c>
      <c r="C208" s="349" t="s">
        <v>365</v>
      </c>
      <c r="D208" s="357">
        <v>21707</v>
      </c>
      <c r="E208" s="357">
        <v>21757</v>
      </c>
      <c r="F208" s="357">
        <v>21608</v>
      </c>
      <c r="G208" s="357">
        <v>21324</v>
      </c>
      <c r="H208" s="357">
        <v>21596</v>
      </c>
      <c r="I208" s="357">
        <v>21535</v>
      </c>
      <c r="J208" s="357">
        <v>21670.223999999998</v>
      </c>
      <c r="K208" s="357">
        <v>21670.223999999998</v>
      </c>
      <c r="L208" s="357">
        <v>21670</v>
      </c>
      <c r="M208" s="357">
        <v>21670</v>
      </c>
      <c r="N208" s="357">
        <v>20780</v>
      </c>
      <c r="O208" s="357">
        <v>86038</v>
      </c>
      <c r="P208" s="357">
        <v>86038</v>
      </c>
      <c r="Q208" s="357">
        <v>86038</v>
      </c>
      <c r="R208" s="357">
        <v>86038.329599999997</v>
      </c>
      <c r="S208" s="357">
        <v>86038</v>
      </c>
      <c r="T208" s="357">
        <v>86038</v>
      </c>
      <c r="U208" s="357">
        <v>86038</v>
      </c>
      <c r="X208" s="500"/>
    </row>
    <row r="209" spans="1:24">
      <c r="A209" s="349">
        <v>180</v>
      </c>
      <c r="B209" s="353" t="s">
        <v>199</v>
      </c>
      <c r="C209" s="349" t="s">
        <v>365</v>
      </c>
      <c r="D209" s="357">
        <v>13437</v>
      </c>
      <c r="E209" s="357">
        <v>13388</v>
      </c>
      <c r="F209" s="357">
        <v>13339</v>
      </c>
      <c r="G209" s="357">
        <v>13251</v>
      </c>
      <c r="H209" s="357">
        <v>13302</v>
      </c>
      <c r="I209" s="357">
        <v>13288</v>
      </c>
      <c r="J209" s="357">
        <v>13387.8928</v>
      </c>
      <c r="K209" s="357">
        <v>13387.8928</v>
      </c>
      <c r="L209" s="357">
        <v>13388</v>
      </c>
      <c r="M209" s="357">
        <v>13388</v>
      </c>
      <c r="N209" s="357">
        <v>12708</v>
      </c>
      <c r="O209" s="357">
        <v>52537</v>
      </c>
      <c r="P209" s="357">
        <v>52537</v>
      </c>
      <c r="Q209" s="357">
        <v>52537</v>
      </c>
      <c r="R209" s="357">
        <v>52537.452799999999</v>
      </c>
      <c r="S209" s="357">
        <v>52537</v>
      </c>
      <c r="T209" s="357">
        <v>52537</v>
      </c>
      <c r="U209" s="357">
        <v>52537</v>
      </c>
      <c r="X209" s="500"/>
    </row>
    <row r="210" spans="1:24">
      <c r="A210" s="349">
        <v>181</v>
      </c>
      <c r="B210" s="353" t="s">
        <v>200</v>
      </c>
      <c r="C210" s="349" t="s">
        <v>365</v>
      </c>
      <c r="D210" s="357">
        <v>2534</v>
      </c>
      <c r="E210" s="357">
        <v>2534</v>
      </c>
      <c r="F210" s="357">
        <v>2509</v>
      </c>
      <c r="G210" s="357">
        <v>2497</v>
      </c>
      <c r="H210" s="357">
        <v>2534</v>
      </c>
      <c r="I210" s="357">
        <v>2522</v>
      </c>
      <c r="J210" s="357">
        <v>2534.2031999999999</v>
      </c>
      <c r="K210" s="357">
        <v>2534.2031999999999</v>
      </c>
      <c r="L210" s="357">
        <v>2534</v>
      </c>
      <c r="M210" s="357">
        <v>2534</v>
      </c>
      <c r="N210" s="357">
        <v>2399</v>
      </c>
      <c r="O210" s="357">
        <v>9890</v>
      </c>
      <c r="P210" s="357">
        <v>9890</v>
      </c>
      <c r="Q210" s="357">
        <v>9890</v>
      </c>
      <c r="R210" s="357">
        <v>9889.84</v>
      </c>
      <c r="S210" s="357">
        <v>9890</v>
      </c>
      <c r="T210" s="357">
        <v>9890</v>
      </c>
      <c r="U210" s="357">
        <v>9890</v>
      </c>
      <c r="X210" s="500"/>
    </row>
    <row r="211" spans="1:24">
      <c r="A211" s="349">
        <v>182</v>
      </c>
      <c r="B211" s="353" t="s">
        <v>201</v>
      </c>
      <c r="C211" s="349" t="s">
        <v>365</v>
      </c>
      <c r="D211" s="357">
        <v>4450</v>
      </c>
      <c r="E211" s="357">
        <v>4475</v>
      </c>
      <c r="F211" s="357">
        <v>4426</v>
      </c>
      <c r="G211" s="357">
        <v>4401</v>
      </c>
      <c r="H211" s="357">
        <v>4426</v>
      </c>
      <c r="I211" s="357">
        <v>4438</v>
      </c>
      <c r="J211" s="357">
        <v>4425.84</v>
      </c>
      <c r="K211" s="357">
        <v>4425.84</v>
      </c>
      <c r="L211" s="357">
        <v>4426</v>
      </c>
      <c r="M211" s="357">
        <v>4426</v>
      </c>
      <c r="N211" s="357">
        <v>4265</v>
      </c>
      <c r="O211" s="357">
        <v>17023</v>
      </c>
      <c r="P211" s="357">
        <v>17023</v>
      </c>
      <c r="Q211" s="357">
        <v>17023</v>
      </c>
      <c r="R211" s="357">
        <v>17022.545600000001</v>
      </c>
      <c r="S211" s="357">
        <v>17023</v>
      </c>
      <c r="T211" s="357">
        <v>17023</v>
      </c>
      <c r="U211" s="357">
        <v>17023</v>
      </c>
      <c r="X211" s="500"/>
    </row>
    <row r="212" spans="1:24">
      <c r="A212" s="349">
        <v>183</v>
      </c>
      <c r="B212" s="353" t="s">
        <v>202</v>
      </c>
      <c r="C212" s="349" t="s">
        <v>365</v>
      </c>
      <c r="D212" s="357">
        <v>2460</v>
      </c>
      <c r="E212" s="357">
        <v>2460</v>
      </c>
      <c r="F212" s="357">
        <v>2435</v>
      </c>
      <c r="G212" s="357">
        <v>2423</v>
      </c>
      <c r="H212" s="357">
        <v>2448</v>
      </c>
      <c r="I212" s="357">
        <v>2448</v>
      </c>
      <c r="J212" s="357">
        <v>2447.8719999999998</v>
      </c>
      <c r="K212" s="357">
        <v>2447.8719999999998</v>
      </c>
      <c r="L212" s="357">
        <v>2448</v>
      </c>
      <c r="M212" s="357">
        <v>2448</v>
      </c>
      <c r="N212" s="357">
        <v>2336</v>
      </c>
      <c r="O212" s="357">
        <v>9816</v>
      </c>
      <c r="P212" s="357">
        <v>9816</v>
      </c>
      <c r="Q212" s="357">
        <v>9816</v>
      </c>
      <c r="R212" s="357">
        <v>9815.5295999999998</v>
      </c>
      <c r="S212" s="357">
        <v>9816</v>
      </c>
      <c r="T212" s="357">
        <v>9816</v>
      </c>
      <c r="U212" s="357">
        <v>9816</v>
      </c>
      <c r="X212" s="500"/>
    </row>
    <row r="213" spans="1:24">
      <c r="A213" s="349">
        <v>184</v>
      </c>
      <c r="B213" s="353" t="s">
        <v>203</v>
      </c>
      <c r="C213" s="349" t="s">
        <v>365</v>
      </c>
      <c r="D213" s="357">
        <v>3116</v>
      </c>
      <c r="E213" s="357">
        <v>3102</v>
      </c>
      <c r="F213" s="357">
        <v>3078</v>
      </c>
      <c r="G213" s="357">
        <v>3053</v>
      </c>
      <c r="H213" s="357">
        <v>3090</v>
      </c>
      <c r="I213" s="357">
        <v>3078</v>
      </c>
      <c r="J213" s="357">
        <v>3078.4175999999998</v>
      </c>
      <c r="K213" s="357">
        <v>3078.4175999999998</v>
      </c>
      <c r="L213" s="357">
        <v>3078</v>
      </c>
      <c r="M213" s="357">
        <v>3078</v>
      </c>
      <c r="N213" s="357">
        <v>2918</v>
      </c>
      <c r="O213" s="357">
        <v>11670</v>
      </c>
      <c r="P213" s="357">
        <v>11670</v>
      </c>
      <c r="Q213" s="357">
        <v>11670</v>
      </c>
      <c r="R213" s="357">
        <v>11670.011200000001</v>
      </c>
      <c r="S213" s="357">
        <v>11670</v>
      </c>
      <c r="T213" s="357">
        <v>11670</v>
      </c>
      <c r="U213" s="357">
        <v>11670</v>
      </c>
      <c r="X213" s="500"/>
    </row>
    <row r="214" spans="1:24">
      <c r="A214" s="349">
        <v>185</v>
      </c>
      <c r="B214" s="353" t="s">
        <v>204</v>
      </c>
      <c r="C214" s="349" t="s">
        <v>365</v>
      </c>
      <c r="D214" s="357">
        <v>6811</v>
      </c>
      <c r="E214" s="357">
        <v>6837</v>
      </c>
      <c r="F214" s="357">
        <v>6749</v>
      </c>
      <c r="G214" s="357">
        <v>6725</v>
      </c>
      <c r="H214" s="357">
        <v>6799</v>
      </c>
      <c r="I214" s="357">
        <v>6762</v>
      </c>
      <c r="J214" s="357">
        <v>6786.2880000000005</v>
      </c>
      <c r="K214" s="357">
        <v>6786.2880000000005</v>
      </c>
      <c r="L214" s="357">
        <v>6786</v>
      </c>
      <c r="M214" s="357">
        <v>6786</v>
      </c>
      <c r="N214" s="357">
        <v>6477</v>
      </c>
      <c r="O214" s="357">
        <v>25527</v>
      </c>
      <c r="P214" s="357">
        <v>25527</v>
      </c>
      <c r="Q214" s="357">
        <v>25527</v>
      </c>
      <c r="R214" s="357">
        <v>25526.715199999999</v>
      </c>
      <c r="S214" s="357">
        <v>25527</v>
      </c>
      <c r="T214" s="357">
        <v>25527</v>
      </c>
      <c r="U214" s="357">
        <v>25527</v>
      </c>
      <c r="X214" s="500"/>
    </row>
    <row r="215" spans="1:24">
      <c r="A215" s="349">
        <v>186</v>
      </c>
      <c r="B215" s="353" t="s">
        <v>205</v>
      </c>
      <c r="C215" s="349" t="s">
        <v>365</v>
      </c>
      <c r="D215" s="357">
        <v>19148</v>
      </c>
      <c r="E215" s="357">
        <v>19037</v>
      </c>
      <c r="F215" s="357">
        <v>18876</v>
      </c>
      <c r="G215" s="357">
        <v>18839</v>
      </c>
      <c r="H215" s="357">
        <v>19001</v>
      </c>
      <c r="I215" s="357">
        <v>18950</v>
      </c>
      <c r="J215" s="357">
        <v>18987.400000000001</v>
      </c>
      <c r="K215" s="357">
        <v>18987.400000000001</v>
      </c>
      <c r="L215" s="357">
        <v>18987</v>
      </c>
      <c r="M215" s="357">
        <v>18987</v>
      </c>
      <c r="N215" s="357">
        <v>18209</v>
      </c>
      <c r="O215" s="357">
        <v>69077</v>
      </c>
      <c r="P215" s="357">
        <v>69077</v>
      </c>
      <c r="Q215" s="357">
        <v>69077</v>
      </c>
      <c r="R215" s="357">
        <v>69076.980800000005</v>
      </c>
      <c r="S215" s="357">
        <v>69077</v>
      </c>
      <c r="T215" s="357">
        <v>69077</v>
      </c>
      <c r="U215" s="357">
        <v>69077</v>
      </c>
      <c r="X215" s="500"/>
    </row>
    <row r="216" spans="1:24">
      <c r="A216" s="349">
        <v>187</v>
      </c>
      <c r="B216" s="353" t="s">
        <v>206</v>
      </c>
      <c r="C216" s="349" t="s">
        <v>365</v>
      </c>
      <c r="D216" s="357">
        <v>8394</v>
      </c>
      <c r="E216" s="357">
        <v>8369</v>
      </c>
      <c r="F216" s="357">
        <v>8282</v>
      </c>
      <c r="G216" s="357">
        <v>8245</v>
      </c>
      <c r="H216" s="357">
        <v>8282</v>
      </c>
      <c r="I216" s="357">
        <v>8270</v>
      </c>
      <c r="J216" s="357">
        <v>8331.5072</v>
      </c>
      <c r="K216" s="357">
        <v>8331.5072</v>
      </c>
      <c r="L216" s="357">
        <v>8332</v>
      </c>
      <c r="M216" s="357">
        <v>8332</v>
      </c>
      <c r="N216" s="357">
        <v>7875</v>
      </c>
      <c r="O216" s="357">
        <v>30460</v>
      </c>
      <c r="P216" s="357">
        <v>30460</v>
      </c>
      <c r="Q216" s="357">
        <v>30460</v>
      </c>
      <c r="R216" s="357">
        <v>30459.614399999999</v>
      </c>
      <c r="S216" s="357">
        <v>30460</v>
      </c>
      <c r="T216" s="357">
        <v>30460</v>
      </c>
      <c r="U216" s="357">
        <v>30460</v>
      </c>
      <c r="X216" s="500"/>
    </row>
    <row r="217" spans="1:24">
      <c r="A217" s="349">
        <v>188</v>
      </c>
      <c r="B217" s="353" t="s">
        <v>207</v>
      </c>
      <c r="C217" s="349" t="s">
        <v>365</v>
      </c>
      <c r="D217" s="357">
        <v>15650</v>
      </c>
      <c r="E217" s="357">
        <v>15638</v>
      </c>
      <c r="F217" s="357">
        <v>15564</v>
      </c>
      <c r="G217" s="357">
        <v>15354</v>
      </c>
      <c r="H217" s="357">
        <v>15464</v>
      </c>
      <c r="I217" s="357">
        <v>15551</v>
      </c>
      <c r="J217" s="357">
        <v>15501.368</v>
      </c>
      <c r="K217" s="357">
        <v>15501.368</v>
      </c>
      <c r="L217" s="357">
        <v>15501</v>
      </c>
      <c r="M217" s="357">
        <v>15501</v>
      </c>
      <c r="N217" s="357">
        <v>14772</v>
      </c>
      <c r="O217" s="357">
        <v>60573</v>
      </c>
      <c r="P217" s="357">
        <v>60573</v>
      </c>
      <c r="Q217" s="357">
        <v>60573</v>
      </c>
      <c r="R217" s="357">
        <v>60572.811199999996</v>
      </c>
      <c r="S217" s="357">
        <v>60573</v>
      </c>
      <c r="T217" s="357">
        <v>60573</v>
      </c>
      <c r="U217" s="357">
        <v>60573</v>
      </c>
      <c r="X217" s="500"/>
    </row>
    <row r="218" spans="1:24">
      <c r="A218" s="349">
        <v>189</v>
      </c>
      <c r="B218" s="353" t="s">
        <v>208</v>
      </c>
      <c r="C218" s="349" t="s">
        <v>365</v>
      </c>
      <c r="D218" s="357">
        <v>17887</v>
      </c>
      <c r="E218" s="357">
        <v>17912</v>
      </c>
      <c r="F218" s="357">
        <v>17677</v>
      </c>
      <c r="G218" s="357">
        <v>17529</v>
      </c>
      <c r="H218" s="357">
        <v>17777</v>
      </c>
      <c r="I218" s="357">
        <v>17689</v>
      </c>
      <c r="J218" s="357">
        <v>17665.112000000001</v>
      </c>
      <c r="K218" s="357">
        <v>17665.112000000001</v>
      </c>
      <c r="L218" s="357">
        <v>17665</v>
      </c>
      <c r="M218" s="357">
        <v>17665</v>
      </c>
      <c r="N218" s="357">
        <v>16886</v>
      </c>
      <c r="O218" s="357">
        <v>68225</v>
      </c>
      <c r="P218" s="357">
        <v>68225</v>
      </c>
      <c r="Q218" s="357">
        <v>68225</v>
      </c>
      <c r="R218" s="357">
        <v>68224.596799999999</v>
      </c>
      <c r="S218" s="357">
        <v>68225</v>
      </c>
      <c r="T218" s="357">
        <v>68225</v>
      </c>
      <c r="U218" s="357">
        <v>68225</v>
      </c>
      <c r="X218" s="500"/>
    </row>
    <row r="219" spans="1:24">
      <c r="A219" s="349">
        <v>190</v>
      </c>
      <c r="B219" s="353" t="s">
        <v>209</v>
      </c>
      <c r="C219" s="349" t="s">
        <v>365</v>
      </c>
      <c r="D219" s="357">
        <v>2027</v>
      </c>
      <c r="E219" s="357">
        <v>2039</v>
      </c>
      <c r="F219" s="357">
        <v>2003</v>
      </c>
      <c r="G219" s="357">
        <v>1990</v>
      </c>
      <c r="H219" s="357">
        <v>2015</v>
      </c>
      <c r="I219" s="357">
        <v>2015</v>
      </c>
      <c r="J219" s="357">
        <v>2003.1024</v>
      </c>
      <c r="K219" s="357">
        <v>2003.1024</v>
      </c>
      <c r="L219" s="357">
        <v>2003</v>
      </c>
      <c r="M219" s="357">
        <v>2003</v>
      </c>
      <c r="N219" s="357">
        <v>1929</v>
      </c>
      <c r="O219" s="357">
        <v>7442</v>
      </c>
      <c r="P219" s="357">
        <v>7442</v>
      </c>
      <c r="Q219" s="357">
        <v>7442</v>
      </c>
      <c r="R219" s="357">
        <v>7441.9679999999998</v>
      </c>
      <c r="S219" s="357">
        <v>7442</v>
      </c>
      <c r="T219" s="357">
        <v>7442</v>
      </c>
      <c r="U219" s="357">
        <v>7442</v>
      </c>
      <c r="X219" s="500"/>
    </row>
    <row r="220" spans="1:24">
      <c r="A220" s="349">
        <v>191</v>
      </c>
      <c r="B220" s="353" t="s">
        <v>210</v>
      </c>
      <c r="C220" s="349" t="s">
        <v>365</v>
      </c>
      <c r="D220" s="357">
        <v>3584</v>
      </c>
      <c r="E220" s="357">
        <v>3584</v>
      </c>
      <c r="F220" s="357">
        <v>3560</v>
      </c>
      <c r="G220" s="357">
        <v>3535</v>
      </c>
      <c r="H220" s="357">
        <v>3572</v>
      </c>
      <c r="I220" s="357">
        <v>3572</v>
      </c>
      <c r="J220" s="357">
        <v>3572.3631999999998</v>
      </c>
      <c r="K220" s="357">
        <v>3572.3631999999998</v>
      </c>
      <c r="L220" s="357">
        <v>3572</v>
      </c>
      <c r="M220" s="357">
        <v>3572</v>
      </c>
      <c r="N220" s="357">
        <v>3400</v>
      </c>
      <c r="O220" s="357">
        <v>13202</v>
      </c>
      <c r="P220" s="357">
        <v>13202</v>
      </c>
      <c r="Q220" s="357">
        <v>13202</v>
      </c>
      <c r="R220" s="357">
        <v>13202.1168</v>
      </c>
      <c r="S220" s="357">
        <v>13202</v>
      </c>
      <c r="T220" s="357">
        <v>13202</v>
      </c>
      <c r="U220" s="357">
        <v>13202</v>
      </c>
      <c r="X220" s="500"/>
    </row>
    <row r="221" spans="1:24">
      <c r="A221" s="349">
        <v>192</v>
      </c>
      <c r="B221" s="353" t="s">
        <v>211</v>
      </c>
      <c r="C221" s="349" t="s">
        <v>365</v>
      </c>
      <c r="D221" s="357">
        <v>3907</v>
      </c>
      <c r="E221" s="357">
        <v>3907</v>
      </c>
      <c r="F221" s="357">
        <v>3882</v>
      </c>
      <c r="G221" s="357">
        <v>3856</v>
      </c>
      <c r="H221" s="357">
        <v>3870</v>
      </c>
      <c r="I221" s="357">
        <v>3882</v>
      </c>
      <c r="J221" s="357">
        <v>3869.6048000000001</v>
      </c>
      <c r="K221" s="357">
        <v>3869.6048000000001</v>
      </c>
      <c r="L221" s="357">
        <v>3870</v>
      </c>
      <c r="M221" s="357">
        <v>3870</v>
      </c>
      <c r="N221" s="357">
        <v>3684</v>
      </c>
      <c r="O221" s="357">
        <v>14352</v>
      </c>
      <c r="P221" s="357">
        <v>14352</v>
      </c>
      <c r="Q221" s="357">
        <v>14352</v>
      </c>
      <c r="R221" s="357">
        <v>14351.742399999999</v>
      </c>
      <c r="S221" s="357">
        <v>14352</v>
      </c>
      <c r="T221" s="357">
        <v>14352</v>
      </c>
      <c r="U221" s="357">
        <v>14352</v>
      </c>
      <c r="X221" s="500"/>
    </row>
    <row r="222" spans="1:24">
      <c r="A222" s="349">
        <v>193</v>
      </c>
      <c r="B222" s="353" t="s">
        <v>212</v>
      </c>
      <c r="C222" s="349" t="s">
        <v>365</v>
      </c>
      <c r="D222" s="357">
        <v>25490</v>
      </c>
      <c r="E222" s="357">
        <v>25613</v>
      </c>
      <c r="F222" s="357">
        <v>25292</v>
      </c>
      <c r="G222" s="357">
        <v>25217</v>
      </c>
      <c r="H222" s="357">
        <v>25379</v>
      </c>
      <c r="I222" s="357">
        <v>25292</v>
      </c>
      <c r="J222" s="357">
        <v>25379.1872</v>
      </c>
      <c r="K222" s="357">
        <v>25379.1872</v>
      </c>
      <c r="L222" s="357">
        <v>25379</v>
      </c>
      <c r="M222" s="357">
        <v>25379</v>
      </c>
      <c r="N222" s="357">
        <v>24230</v>
      </c>
      <c r="O222" s="357">
        <v>96620</v>
      </c>
      <c r="P222" s="357">
        <v>96620</v>
      </c>
      <c r="Q222" s="357">
        <v>96620</v>
      </c>
      <c r="R222" s="357">
        <v>96619.911999999997</v>
      </c>
      <c r="S222" s="357">
        <v>96620</v>
      </c>
      <c r="T222" s="357">
        <v>96620</v>
      </c>
      <c r="U222" s="357">
        <v>96620</v>
      </c>
      <c r="X222" s="500"/>
    </row>
    <row r="223" spans="1:24">
      <c r="A223" s="349">
        <v>194</v>
      </c>
      <c r="B223" s="353" t="s">
        <v>213</v>
      </c>
      <c r="C223" s="349" t="s">
        <v>365</v>
      </c>
      <c r="D223" s="357">
        <v>36183</v>
      </c>
      <c r="E223" s="357">
        <v>36343</v>
      </c>
      <c r="F223" s="357">
        <v>36022</v>
      </c>
      <c r="G223" s="357">
        <v>35638</v>
      </c>
      <c r="H223" s="357">
        <v>36022</v>
      </c>
      <c r="I223" s="357">
        <v>35886</v>
      </c>
      <c r="J223" s="357">
        <v>36033.987200000003</v>
      </c>
      <c r="K223" s="357">
        <v>36033.987200000003</v>
      </c>
      <c r="L223" s="357">
        <v>36034</v>
      </c>
      <c r="M223" s="357">
        <v>36034</v>
      </c>
      <c r="N223" s="357">
        <v>34291</v>
      </c>
      <c r="O223" s="357">
        <v>136796</v>
      </c>
      <c r="P223" s="357">
        <v>136796</v>
      </c>
      <c r="Q223" s="357">
        <v>136796</v>
      </c>
      <c r="R223" s="357">
        <v>136795.61119999998</v>
      </c>
      <c r="S223" s="357">
        <v>136796</v>
      </c>
      <c r="T223" s="357">
        <v>136796</v>
      </c>
      <c r="U223" s="357">
        <v>136796</v>
      </c>
      <c r="X223" s="500"/>
    </row>
    <row r="224" spans="1:24">
      <c r="A224" s="349">
        <v>195</v>
      </c>
      <c r="B224" s="353" t="s">
        <v>214</v>
      </c>
      <c r="C224" s="349" t="s">
        <v>365</v>
      </c>
      <c r="D224" s="357">
        <v>18333</v>
      </c>
      <c r="E224" s="357">
        <v>18246</v>
      </c>
      <c r="F224" s="357">
        <v>18085</v>
      </c>
      <c r="G224" s="357">
        <v>18012</v>
      </c>
      <c r="H224" s="357">
        <v>18196</v>
      </c>
      <c r="I224" s="357">
        <v>18159</v>
      </c>
      <c r="J224" s="357">
        <v>18060.705600000001</v>
      </c>
      <c r="K224" s="357">
        <v>18060.705600000001</v>
      </c>
      <c r="L224" s="357">
        <v>18061</v>
      </c>
      <c r="M224" s="357">
        <v>18061</v>
      </c>
      <c r="N224" s="357">
        <v>17232</v>
      </c>
      <c r="O224" s="357">
        <v>69226</v>
      </c>
      <c r="P224" s="357">
        <v>69226</v>
      </c>
      <c r="Q224" s="357">
        <v>69226</v>
      </c>
      <c r="R224" s="357">
        <v>69225.601599999995</v>
      </c>
      <c r="S224" s="357">
        <v>69226</v>
      </c>
      <c r="T224" s="357">
        <v>69226</v>
      </c>
      <c r="U224" s="357">
        <v>69226</v>
      </c>
      <c r="X224" s="500"/>
    </row>
    <row r="225" spans="1:24">
      <c r="A225" s="349">
        <v>196</v>
      </c>
      <c r="B225" s="353" t="s">
        <v>215</v>
      </c>
      <c r="C225" s="349" t="s">
        <v>365</v>
      </c>
      <c r="D225" s="357">
        <v>13239</v>
      </c>
      <c r="E225" s="357">
        <v>13190</v>
      </c>
      <c r="F225" s="357">
        <v>13079</v>
      </c>
      <c r="G225" s="357">
        <v>12955</v>
      </c>
      <c r="H225" s="357">
        <v>13141</v>
      </c>
      <c r="I225" s="357">
        <v>13053</v>
      </c>
      <c r="J225" s="357">
        <v>13103.764800000001</v>
      </c>
      <c r="K225" s="357">
        <v>13103.764800000001</v>
      </c>
      <c r="L225" s="357">
        <v>13104</v>
      </c>
      <c r="M225" s="357">
        <v>13104</v>
      </c>
      <c r="N225" s="357">
        <v>12436</v>
      </c>
      <c r="O225" s="357">
        <v>49966</v>
      </c>
      <c r="P225" s="357">
        <v>49966</v>
      </c>
      <c r="Q225" s="357">
        <v>49966</v>
      </c>
      <c r="R225" s="357">
        <v>49966.094400000002</v>
      </c>
      <c r="S225" s="357">
        <v>49966</v>
      </c>
      <c r="T225" s="357">
        <v>49966</v>
      </c>
      <c r="U225" s="357">
        <v>49966</v>
      </c>
      <c r="X225" s="500"/>
    </row>
    <row r="226" spans="1:24">
      <c r="A226" s="349">
        <v>197</v>
      </c>
      <c r="B226" s="353" t="s">
        <v>216</v>
      </c>
      <c r="C226" s="349" t="s">
        <v>365</v>
      </c>
      <c r="D226" s="357">
        <v>101724</v>
      </c>
      <c r="E226" s="357">
        <v>101403</v>
      </c>
      <c r="F226" s="357">
        <v>100847</v>
      </c>
      <c r="G226" s="357">
        <v>100253</v>
      </c>
      <c r="H226" s="357">
        <v>100872</v>
      </c>
      <c r="I226" s="357">
        <v>100847</v>
      </c>
      <c r="J226" s="357">
        <v>100574.7552</v>
      </c>
      <c r="K226" s="357">
        <v>100574.7552</v>
      </c>
      <c r="L226" s="357">
        <v>100575</v>
      </c>
      <c r="M226" s="357">
        <v>100575</v>
      </c>
      <c r="N226" s="357">
        <v>97053</v>
      </c>
      <c r="O226" s="357">
        <v>398048</v>
      </c>
      <c r="P226" s="357">
        <v>398048</v>
      </c>
      <c r="Q226" s="357">
        <v>398048</v>
      </c>
      <c r="R226" s="357">
        <v>398048.02879999997</v>
      </c>
      <c r="S226" s="357">
        <v>398048</v>
      </c>
      <c r="T226" s="357">
        <v>398048</v>
      </c>
      <c r="U226" s="357">
        <v>398048</v>
      </c>
      <c r="X226" s="500"/>
    </row>
    <row r="227" spans="1:24">
      <c r="A227" s="349">
        <v>198</v>
      </c>
      <c r="B227" s="353" t="s">
        <v>217</v>
      </c>
      <c r="C227" s="349" t="s">
        <v>365</v>
      </c>
      <c r="D227" s="357">
        <v>85395</v>
      </c>
      <c r="E227" s="357">
        <v>85308</v>
      </c>
      <c r="F227" s="357">
        <v>84801</v>
      </c>
      <c r="G227" s="357">
        <v>83726</v>
      </c>
      <c r="H227" s="357">
        <v>84456</v>
      </c>
      <c r="I227" s="357">
        <v>84517</v>
      </c>
      <c r="J227" s="357">
        <v>84542.286399999997</v>
      </c>
      <c r="K227" s="357">
        <v>84542.286399999997</v>
      </c>
      <c r="L227" s="357">
        <v>84542</v>
      </c>
      <c r="M227" s="357">
        <v>84542</v>
      </c>
      <c r="N227" s="357">
        <v>80228</v>
      </c>
      <c r="O227" s="357">
        <v>312430</v>
      </c>
      <c r="P227" s="357">
        <v>312430</v>
      </c>
      <c r="Q227" s="357">
        <v>312430</v>
      </c>
      <c r="R227" s="357">
        <v>312430.42719999998</v>
      </c>
      <c r="S227" s="357">
        <v>312430</v>
      </c>
      <c r="T227" s="357">
        <v>312430</v>
      </c>
      <c r="U227" s="357">
        <v>312430</v>
      </c>
      <c r="X227" s="500"/>
    </row>
    <row r="228" spans="1:24">
      <c r="A228" s="349">
        <v>199</v>
      </c>
      <c r="B228" s="353" t="s">
        <v>218</v>
      </c>
      <c r="C228" s="349" t="s">
        <v>365</v>
      </c>
      <c r="D228" s="357">
        <v>57161</v>
      </c>
      <c r="E228" s="357">
        <v>57024</v>
      </c>
      <c r="F228" s="357">
        <v>56481</v>
      </c>
      <c r="G228" s="357">
        <v>55998</v>
      </c>
      <c r="H228" s="357">
        <v>56605</v>
      </c>
      <c r="I228" s="357">
        <v>56642</v>
      </c>
      <c r="J228" s="357">
        <v>56616.875200000002</v>
      </c>
      <c r="K228" s="357">
        <v>56616.875200000002</v>
      </c>
      <c r="L228" s="357">
        <v>56617</v>
      </c>
      <c r="M228" s="357">
        <v>56617</v>
      </c>
      <c r="N228" s="357">
        <v>54306</v>
      </c>
      <c r="O228" s="357">
        <v>206404</v>
      </c>
      <c r="P228" s="357">
        <v>206404</v>
      </c>
      <c r="Q228" s="357">
        <v>206404</v>
      </c>
      <c r="R228" s="357">
        <v>206403.69279999999</v>
      </c>
      <c r="S228" s="357">
        <v>206404</v>
      </c>
      <c r="T228" s="357">
        <v>206404</v>
      </c>
      <c r="U228" s="357">
        <v>206404</v>
      </c>
      <c r="X228" s="500"/>
    </row>
    <row r="229" spans="1:24">
      <c r="A229" s="349">
        <v>200</v>
      </c>
      <c r="B229" s="353" t="s">
        <v>219</v>
      </c>
      <c r="C229" s="349" t="s">
        <v>365</v>
      </c>
      <c r="D229" s="357">
        <v>50869</v>
      </c>
      <c r="E229" s="357">
        <v>50806</v>
      </c>
      <c r="F229" s="357">
        <v>50448</v>
      </c>
      <c r="G229" s="357">
        <v>49843</v>
      </c>
      <c r="H229" s="357">
        <v>50559</v>
      </c>
      <c r="I229" s="357">
        <v>50313</v>
      </c>
      <c r="J229" s="357">
        <v>50189.025600000001</v>
      </c>
      <c r="K229" s="357">
        <v>50189.025600000001</v>
      </c>
      <c r="L229" s="357">
        <v>50189</v>
      </c>
      <c r="M229" s="357">
        <v>50189</v>
      </c>
      <c r="N229" s="357">
        <v>48903</v>
      </c>
      <c r="O229" s="357">
        <v>202251</v>
      </c>
      <c r="P229" s="357">
        <v>202251</v>
      </c>
      <c r="Q229" s="357">
        <v>202251</v>
      </c>
      <c r="R229" s="357">
        <v>202251.0528</v>
      </c>
      <c r="S229" s="357">
        <v>202251</v>
      </c>
      <c r="T229" s="357">
        <v>202251</v>
      </c>
      <c r="U229" s="357">
        <v>202251</v>
      </c>
      <c r="X229" s="500"/>
    </row>
    <row r="230" spans="1:24">
      <c r="A230" s="349">
        <v>201</v>
      </c>
      <c r="B230" s="353" t="s">
        <v>220</v>
      </c>
      <c r="C230" s="349" t="s">
        <v>365</v>
      </c>
      <c r="D230" s="357">
        <v>5303</v>
      </c>
      <c r="E230" s="357">
        <v>5291</v>
      </c>
      <c r="F230" s="357">
        <v>5254</v>
      </c>
      <c r="G230" s="357">
        <v>5192</v>
      </c>
      <c r="H230" s="357">
        <v>5229</v>
      </c>
      <c r="I230" s="357">
        <v>5217</v>
      </c>
      <c r="J230" s="357">
        <v>5241.0688</v>
      </c>
      <c r="K230" s="357">
        <v>5241.0688</v>
      </c>
      <c r="L230" s="357">
        <v>5241</v>
      </c>
      <c r="M230" s="357">
        <v>5241</v>
      </c>
      <c r="N230" s="357">
        <v>4945</v>
      </c>
      <c r="O230" s="357">
        <v>20793</v>
      </c>
      <c r="P230" s="357">
        <v>20793</v>
      </c>
      <c r="Q230" s="357">
        <v>20793</v>
      </c>
      <c r="R230" s="357">
        <v>20792.705600000001</v>
      </c>
      <c r="S230" s="357">
        <v>20793</v>
      </c>
      <c r="T230" s="357">
        <v>20793</v>
      </c>
      <c r="U230" s="357">
        <v>20793</v>
      </c>
      <c r="X230" s="500"/>
    </row>
    <row r="231" spans="1:24">
      <c r="A231" s="349">
        <v>202</v>
      </c>
      <c r="B231" s="353" t="s">
        <v>221</v>
      </c>
      <c r="C231" s="349" t="s">
        <v>365</v>
      </c>
      <c r="D231" s="357">
        <v>15873</v>
      </c>
      <c r="E231" s="357">
        <v>15885</v>
      </c>
      <c r="F231" s="357">
        <v>15712</v>
      </c>
      <c r="G231" s="357">
        <v>15613</v>
      </c>
      <c r="H231" s="357">
        <v>15687</v>
      </c>
      <c r="I231" s="357">
        <v>15773</v>
      </c>
      <c r="J231" s="357">
        <v>15675.1232</v>
      </c>
      <c r="K231" s="357">
        <v>15675.1232</v>
      </c>
      <c r="L231" s="357">
        <v>15675</v>
      </c>
      <c r="M231" s="357">
        <v>15675</v>
      </c>
      <c r="N231" s="357">
        <v>14945</v>
      </c>
      <c r="O231" s="357">
        <v>59695</v>
      </c>
      <c r="P231" s="357">
        <v>59695</v>
      </c>
      <c r="Q231" s="357">
        <v>59695</v>
      </c>
      <c r="R231" s="357">
        <v>59695.292799999996</v>
      </c>
      <c r="S231" s="357">
        <v>59695</v>
      </c>
      <c r="T231" s="357">
        <v>59695</v>
      </c>
      <c r="U231" s="357">
        <v>59695</v>
      </c>
      <c r="X231" s="500"/>
    </row>
    <row r="232" spans="1:24">
      <c r="A232" s="349">
        <v>203</v>
      </c>
      <c r="B232" s="353" t="s">
        <v>222</v>
      </c>
      <c r="C232" s="349" t="s">
        <v>365</v>
      </c>
      <c r="D232" s="357">
        <v>21831</v>
      </c>
      <c r="E232" s="357">
        <v>21794</v>
      </c>
      <c r="F232" s="357">
        <v>21658</v>
      </c>
      <c r="G232" s="357">
        <v>21349</v>
      </c>
      <c r="H232" s="357">
        <v>21633</v>
      </c>
      <c r="I232" s="357">
        <v>21510</v>
      </c>
      <c r="J232" s="357">
        <v>21558.758399999999</v>
      </c>
      <c r="K232" s="357">
        <v>21558.758399999999</v>
      </c>
      <c r="L232" s="357">
        <v>21559</v>
      </c>
      <c r="M232" s="357">
        <v>21559</v>
      </c>
      <c r="N232" s="357">
        <v>20372</v>
      </c>
      <c r="O232" s="357">
        <v>86013</v>
      </c>
      <c r="P232" s="357">
        <v>86013</v>
      </c>
      <c r="Q232" s="357">
        <v>86013</v>
      </c>
      <c r="R232" s="357">
        <v>86013.195200000002</v>
      </c>
      <c r="S232" s="357">
        <v>86013</v>
      </c>
      <c r="T232" s="357">
        <v>86013</v>
      </c>
      <c r="U232" s="357">
        <v>86013</v>
      </c>
      <c r="X232" s="500"/>
    </row>
    <row r="233" spans="1:24">
      <c r="A233" s="349">
        <v>204</v>
      </c>
      <c r="B233" s="353" t="s">
        <v>223</v>
      </c>
      <c r="C233" s="349" t="s">
        <v>365</v>
      </c>
      <c r="D233" s="357">
        <v>31547</v>
      </c>
      <c r="E233" s="357">
        <v>31435</v>
      </c>
      <c r="F233" s="357">
        <v>31226</v>
      </c>
      <c r="G233" s="357">
        <v>30954</v>
      </c>
      <c r="H233" s="357">
        <v>31114</v>
      </c>
      <c r="I233" s="357">
        <v>31090</v>
      </c>
      <c r="J233" s="357">
        <v>31200.532800000001</v>
      </c>
      <c r="K233" s="357">
        <v>31200.532800000001</v>
      </c>
      <c r="L233" s="357">
        <v>31201</v>
      </c>
      <c r="M233" s="357">
        <v>31201</v>
      </c>
      <c r="N233" s="357">
        <v>29359</v>
      </c>
      <c r="O233" s="357">
        <v>115644</v>
      </c>
      <c r="P233" s="357">
        <v>115644</v>
      </c>
      <c r="Q233" s="357">
        <v>115644</v>
      </c>
      <c r="R233" s="357">
        <v>115644.4672</v>
      </c>
      <c r="S233" s="357">
        <v>115644</v>
      </c>
      <c r="T233" s="357">
        <v>115644</v>
      </c>
      <c r="U233" s="357">
        <v>115644</v>
      </c>
      <c r="X233" s="500"/>
    </row>
    <row r="234" spans="1:24">
      <c r="A234" s="349">
        <v>205</v>
      </c>
      <c r="B234" s="353" t="s">
        <v>224</v>
      </c>
      <c r="C234" s="349" t="s">
        <v>365</v>
      </c>
      <c r="D234" s="357">
        <v>7021</v>
      </c>
      <c r="E234" s="357">
        <v>6984</v>
      </c>
      <c r="F234" s="357">
        <v>6935</v>
      </c>
      <c r="G234" s="357">
        <v>6923</v>
      </c>
      <c r="H234" s="357">
        <v>6935</v>
      </c>
      <c r="I234" s="357">
        <v>6935</v>
      </c>
      <c r="J234" s="357">
        <v>6972.0640000000003</v>
      </c>
      <c r="K234" s="357">
        <v>6972.0640000000003</v>
      </c>
      <c r="L234" s="357">
        <v>6972</v>
      </c>
      <c r="M234" s="357">
        <v>6972</v>
      </c>
      <c r="N234" s="357">
        <v>6688</v>
      </c>
      <c r="O234" s="357">
        <v>26887</v>
      </c>
      <c r="P234" s="357">
        <v>26887</v>
      </c>
      <c r="Q234" s="357">
        <v>26887</v>
      </c>
      <c r="R234" s="357">
        <v>26887.251199999999</v>
      </c>
      <c r="S234" s="357">
        <v>26887</v>
      </c>
      <c r="T234" s="357">
        <v>26887</v>
      </c>
      <c r="U234" s="357">
        <v>26887</v>
      </c>
      <c r="X234" s="500"/>
    </row>
    <row r="235" spans="1:24">
      <c r="A235" s="349">
        <v>206</v>
      </c>
      <c r="B235" s="353" t="s">
        <v>225</v>
      </c>
      <c r="C235" s="349" t="s">
        <v>365</v>
      </c>
      <c r="D235" s="357">
        <v>73293</v>
      </c>
      <c r="E235" s="357">
        <v>73156</v>
      </c>
      <c r="F235" s="357">
        <v>72848</v>
      </c>
      <c r="G235" s="357">
        <v>72106</v>
      </c>
      <c r="H235" s="357">
        <v>72984</v>
      </c>
      <c r="I235" s="357">
        <v>72563</v>
      </c>
      <c r="J235" s="357">
        <v>72563.012799999997</v>
      </c>
      <c r="K235" s="357">
        <v>72563.012799999997</v>
      </c>
      <c r="L235" s="357">
        <v>72563</v>
      </c>
      <c r="M235" s="357">
        <v>72563</v>
      </c>
      <c r="N235" s="357">
        <v>69386</v>
      </c>
      <c r="O235" s="357">
        <v>274258</v>
      </c>
      <c r="P235" s="357">
        <v>274258</v>
      </c>
      <c r="Q235" s="357">
        <v>274258</v>
      </c>
      <c r="R235" s="357">
        <v>274257.83039999998</v>
      </c>
      <c r="S235" s="357">
        <v>274258</v>
      </c>
      <c r="T235" s="357">
        <v>274258</v>
      </c>
      <c r="U235" s="357">
        <v>274258</v>
      </c>
      <c r="X235" s="500"/>
    </row>
    <row r="236" spans="1:24">
      <c r="A236" s="349">
        <v>207</v>
      </c>
      <c r="B236" s="353" t="s">
        <v>226</v>
      </c>
      <c r="C236" s="349" t="s">
        <v>365</v>
      </c>
      <c r="D236" s="357">
        <v>4364</v>
      </c>
      <c r="E236" s="357">
        <v>4340</v>
      </c>
      <c r="F236" s="357">
        <v>4314</v>
      </c>
      <c r="G236" s="357">
        <v>4277</v>
      </c>
      <c r="H236" s="357">
        <v>4302</v>
      </c>
      <c r="I236" s="357">
        <v>4302</v>
      </c>
      <c r="J236" s="357">
        <v>4326.3951999999999</v>
      </c>
      <c r="K236" s="357">
        <v>4326.3951999999999</v>
      </c>
      <c r="L236" s="357">
        <v>4326</v>
      </c>
      <c r="M236" s="357">
        <v>4326</v>
      </c>
      <c r="N236" s="357">
        <v>4105</v>
      </c>
      <c r="O236" s="357">
        <v>16218</v>
      </c>
      <c r="P236" s="357">
        <v>16218</v>
      </c>
      <c r="Q236" s="357">
        <v>16218</v>
      </c>
      <c r="R236" s="357">
        <v>16218.2448</v>
      </c>
      <c r="S236" s="357">
        <v>16218</v>
      </c>
      <c r="T236" s="357">
        <v>16218</v>
      </c>
      <c r="U236" s="357">
        <v>16218</v>
      </c>
      <c r="X236" s="500"/>
    </row>
    <row r="237" spans="1:24" ht="18">
      <c r="A237" s="349">
        <v>208</v>
      </c>
      <c r="B237" s="353" t="s">
        <v>227</v>
      </c>
      <c r="C237" s="349" t="s">
        <v>366</v>
      </c>
      <c r="D237" s="357">
        <v>10644</v>
      </c>
      <c r="E237" s="357">
        <v>10594</v>
      </c>
      <c r="F237" s="357">
        <v>10582</v>
      </c>
      <c r="G237" s="357">
        <v>10495</v>
      </c>
      <c r="H237" s="357">
        <v>10582</v>
      </c>
      <c r="I237" s="357">
        <v>10582</v>
      </c>
      <c r="J237" s="357">
        <v>10532.4064</v>
      </c>
      <c r="K237" s="357">
        <v>10532.4064</v>
      </c>
      <c r="L237" s="357">
        <v>10532</v>
      </c>
      <c r="M237" s="357">
        <v>10532</v>
      </c>
      <c r="N237" s="357">
        <v>10186</v>
      </c>
      <c r="O237" s="357">
        <v>39904</v>
      </c>
      <c r="P237" s="357">
        <v>39904</v>
      </c>
      <c r="Q237" s="357">
        <v>39904</v>
      </c>
      <c r="R237" s="357">
        <v>39903.591999999997</v>
      </c>
      <c r="S237" s="357">
        <v>39904</v>
      </c>
      <c r="T237" s="357">
        <v>39904</v>
      </c>
      <c r="U237" s="357">
        <v>39904</v>
      </c>
      <c r="X237" s="500"/>
    </row>
    <row r="238" spans="1:24">
      <c r="A238" s="349">
        <v>209</v>
      </c>
      <c r="B238" s="353" t="s">
        <v>227</v>
      </c>
      <c r="C238" s="349" t="s">
        <v>365</v>
      </c>
      <c r="D238" s="357">
        <v>54874</v>
      </c>
      <c r="E238" s="357">
        <v>54849</v>
      </c>
      <c r="F238" s="357">
        <v>54429</v>
      </c>
      <c r="G238" s="357">
        <v>54083</v>
      </c>
      <c r="H238" s="357">
        <v>54379</v>
      </c>
      <c r="I238" s="357">
        <v>54429</v>
      </c>
      <c r="J238" s="357">
        <v>54478.265599999999</v>
      </c>
      <c r="K238" s="357">
        <v>54478.265599999999</v>
      </c>
      <c r="L238" s="357">
        <v>54478</v>
      </c>
      <c r="M238" s="357">
        <v>54478</v>
      </c>
      <c r="N238" s="357">
        <v>51623</v>
      </c>
      <c r="O238" s="357">
        <v>206342</v>
      </c>
      <c r="P238" s="357">
        <v>206342</v>
      </c>
      <c r="Q238" s="357">
        <v>206342</v>
      </c>
      <c r="R238" s="357">
        <v>206342.49599999998</v>
      </c>
      <c r="S238" s="357">
        <v>206342</v>
      </c>
      <c r="T238" s="357">
        <v>206342</v>
      </c>
      <c r="U238" s="357">
        <v>206342</v>
      </c>
      <c r="X238" s="500"/>
    </row>
    <row r="239" spans="1:24" ht="18">
      <c r="A239" s="349">
        <v>210</v>
      </c>
      <c r="B239" s="353" t="s">
        <v>228</v>
      </c>
      <c r="C239" s="349" t="s">
        <v>366</v>
      </c>
      <c r="D239" s="357">
        <v>977</v>
      </c>
      <c r="E239" s="357">
        <v>977</v>
      </c>
      <c r="F239" s="357">
        <v>964</v>
      </c>
      <c r="G239" s="357">
        <v>952</v>
      </c>
      <c r="H239" s="357">
        <v>964</v>
      </c>
      <c r="I239" s="357">
        <v>964</v>
      </c>
      <c r="J239" s="357">
        <v>963.84960000000001</v>
      </c>
      <c r="K239" s="357">
        <v>963.84960000000001</v>
      </c>
      <c r="L239" s="357">
        <v>964</v>
      </c>
      <c r="M239" s="357">
        <v>964</v>
      </c>
      <c r="N239" s="357">
        <v>927</v>
      </c>
      <c r="O239" s="357">
        <v>3746</v>
      </c>
      <c r="P239" s="357">
        <v>3746</v>
      </c>
      <c r="Q239" s="357">
        <v>3746</v>
      </c>
      <c r="R239" s="357">
        <v>3746.1183999999998</v>
      </c>
      <c r="S239" s="357">
        <v>3746</v>
      </c>
      <c r="T239" s="357">
        <v>3746</v>
      </c>
      <c r="U239" s="357">
        <v>3746</v>
      </c>
      <c r="X239" s="500"/>
    </row>
    <row r="240" spans="1:24">
      <c r="A240" s="349">
        <v>211</v>
      </c>
      <c r="B240" s="353" t="s">
        <v>228</v>
      </c>
      <c r="C240" s="349" t="s">
        <v>365</v>
      </c>
      <c r="D240" s="357">
        <v>3041</v>
      </c>
      <c r="E240" s="357">
        <v>3053</v>
      </c>
      <c r="F240" s="357">
        <v>3028</v>
      </c>
      <c r="G240" s="357">
        <v>3004</v>
      </c>
      <c r="H240" s="357">
        <v>3016</v>
      </c>
      <c r="I240" s="357">
        <v>3016</v>
      </c>
      <c r="J240" s="357">
        <v>3028.1487999999999</v>
      </c>
      <c r="K240" s="357">
        <v>3028.1487999999999</v>
      </c>
      <c r="L240" s="357">
        <v>3028</v>
      </c>
      <c r="M240" s="357">
        <v>3028</v>
      </c>
      <c r="N240" s="357">
        <v>2855</v>
      </c>
      <c r="O240" s="357">
        <v>11249</v>
      </c>
      <c r="P240" s="357">
        <v>11249</v>
      </c>
      <c r="Q240" s="357">
        <v>11249</v>
      </c>
      <c r="R240" s="357">
        <v>11249.2832</v>
      </c>
      <c r="S240" s="357">
        <v>11249</v>
      </c>
      <c r="T240" s="357">
        <v>11249</v>
      </c>
      <c r="U240" s="357">
        <v>11249</v>
      </c>
      <c r="X240" s="500"/>
    </row>
    <row r="241" spans="1:24" ht="18">
      <c r="A241" s="349">
        <v>212</v>
      </c>
      <c r="B241" s="353" t="s">
        <v>229</v>
      </c>
      <c r="C241" s="349" t="s">
        <v>366</v>
      </c>
      <c r="D241" s="357">
        <v>1347</v>
      </c>
      <c r="E241" s="357">
        <v>1347</v>
      </c>
      <c r="F241" s="357">
        <v>1335</v>
      </c>
      <c r="G241" s="357">
        <v>1322</v>
      </c>
      <c r="H241" s="357">
        <v>1335</v>
      </c>
      <c r="I241" s="357">
        <v>1335</v>
      </c>
      <c r="J241" s="357">
        <v>1335.4015999999999</v>
      </c>
      <c r="K241" s="357">
        <v>1335.4015999999999</v>
      </c>
      <c r="L241" s="357">
        <v>1335</v>
      </c>
      <c r="M241" s="357">
        <v>1335</v>
      </c>
      <c r="N241" s="357">
        <v>1261</v>
      </c>
      <c r="O241" s="357">
        <v>5094</v>
      </c>
      <c r="P241" s="357">
        <v>5094</v>
      </c>
      <c r="Q241" s="357">
        <v>5094</v>
      </c>
      <c r="R241" s="357">
        <v>5093.5407999999998</v>
      </c>
      <c r="S241" s="357">
        <v>5094</v>
      </c>
      <c r="T241" s="357">
        <v>5094</v>
      </c>
      <c r="U241" s="357">
        <v>5094</v>
      </c>
      <c r="X241" s="500"/>
    </row>
    <row r="242" spans="1:24">
      <c r="A242" s="349">
        <v>213</v>
      </c>
      <c r="B242" s="353" t="s">
        <v>229</v>
      </c>
      <c r="C242" s="349" t="s">
        <v>365</v>
      </c>
      <c r="D242" s="357">
        <v>5687</v>
      </c>
      <c r="E242" s="357">
        <v>5711</v>
      </c>
      <c r="F242" s="357">
        <v>5637</v>
      </c>
      <c r="G242" s="357">
        <v>5613</v>
      </c>
      <c r="H242" s="357">
        <v>5637</v>
      </c>
      <c r="I242" s="357">
        <v>5637</v>
      </c>
      <c r="J242" s="357">
        <v>5649.7759999999998</v>
      </c>
      <c r="K242" s="357">
        <v>5649.7759999999998</v>
      </c>
      <c r="L242" s="357">
        <v>5650</v>
      </c>
      <c r="M242" s="357">
        <v>5650</v>
      </c>
      <c r="N242" s="357">
        <v>5378</v>
      </c>
      <c r="O242" s="357">
        <v>21361</v>
      </c>
      <c r="P242" s="357">
        <v>21361</v>
      </c>
      <c r="Q242" s="357">
        <v>21361</v>
      </c>
      <c r="R242" s="357">
        <v>21360.961599999999</v>
      </c>
      <c r="S242" s="357">
        <v>21361</v>
      </c>
      <c r="T242" s="357">
        <v>21361</v>
      </c>
      <c r="U242" s="357">
        <v>21361</v>
      </c>
      <c r="X242" s="500"/>
    </row>
    <row r="243" spans="1:24">
      <c r="A243" s="349">
        <v>214</v>
      </c>
      <c r="B243" s="353" t="s">
        <v>230</v>
      </c>
      <c r="C243" s="349" t="s">
        <v>365</v>
      </c>
      <c r="D243" s="357">
        <v>4833</v>
      </c>
      <c r="E243" s="357">
        <v>4808</v>
      </c>
      <c r="F243" s="357">
        <v>4796</v>
      </c>
      <c r="G243" s="357">
        <v>4759</v>
      </c>
      <c r="H243" s="357">
        <v>4771</v>
      </c>
      <c r="I243" s="357">
        <v>4784</v>
      </c>
      <c r="J243" s="357">
        <v>4771.1647999999996</v>
      </c>
      <c r="K243" s="357">
        <v>4771.1647999999996</v>
      </c>
      <c r="L243" s="357">
        <v>4771</v>
      </c>
      <c r="M243" s="357">
        <v>4771</v>
      </c>
      <c r="N243" s="357">
        <v>4512</v>
      </c>
      <c r="O243" s="357">
        <v>17875</v>
      </c>
      <c r="P243" s="357">
        <v>17875</v>
      </c>
      <c r="Q243" s="357">
        <v>17875</v>
      </c>
      <c r="R243" s="357">
        <v>17874.929599999999</v>
      </c>
      <c r="S243" s="357">
        <v>17875</v>
      </c>
      <c r="T243" s="357">
        <v>17875</v>
      </c>
      <c r="U243" s="357">
        <v>17875</v>
      </c>
      <c r="X243" s="500"/>
    </row>
    <row r="244" spans="1:24">
      <c r="A244" s="349">
        <v>215</v>
      </c>
      <c r="B244" s="353" t="s">
        <v>231</v>
      </c>
      <c r="C244" s="349" t="s">
        <v>365</v>
      </c>
      <c r="D244" s="357">
        <v>5464</v>
      </c>
      <c r="E244" s="357">
        <v>5464</v>
      </c>
      <c r="F244" s="357">
        <v>5427</v>
      </c>
      <c r="G244" s="357">
        <v>5378</v>
      </c>
      <c r="H244" s="357">
        <v>5415</v>
      </c>
      <c r="I244" s="357">
        <v>5402</v>
      </c>
      <c r="J244" s="357">
        <v>5401.7103999999999</v>
      </c>
      <c r="K244" s="357">
        <v>5401.7103999999999</v>
      </c>
      <c r="L244" s="357">
        <v>5402</v>
      </c>
      <c r="M244" s="357">
        <v>5402</v>
      </c>
      <c r="N244" s="357">
        <v>5130</v>
      </c>
      <c r="O244" s="357">
        <v>20360</v>
      </c>
      <c r="P244" s="357">
        <v>20360</v>
      </c>
      <c r="Q244" s="357">
        <v>20360</v>
      </c>
      <c r="R244" s="357">
        <v>20359.9568</v>
      </c>
      <c r="S244" s="357">
        <v>20360</v>
      </c>
      <c r="T244" s="357">
        <v>20360</v>
      </c>
      <c r="U244" s="357">
        <v>20360</v>
      </c>
      <c r="X244" s="500"/>
    </row>
    <row r="245" spans="1:24">
      <c r="A245" s="349">
        <v>216</v>
      </c>
      <c r="B245" s="353" t="s">
        <v>232</v>
      </c>
      <c r="C245" s="349" t="s">
        <v>365</v>
      </c>
      <c r="D245" s="357">
        <v>7875</v>
      </c>
      <c r="E245" s="357">
        <v>7875</v>
      </c>
      <c r="F245" s="357">
        <v>7812</v>
      </c>
      <c r="G245" s="357">
        <v>7788</v>
      </c>
      <c r="H245" s="357">
        <v>7812</v>
      </c>
      <c r="I245" s="357">
        <v>7838</v>
      </c>
      <c r="J245" s="357">
        <v>7800.4063999999998</v>
      </c>
      <c r="K245" s="357">
        <v>7800.4063999999998</v>
      </c>
      <c r="L245" s="357">
        <v>7800</v>
      </c>
      <c r="M245" s="357">
        <v>7800</v>
      </c>
      <c r="N245" s="357">
        <v>7393</v>
      </c>
      <c r="O245" s="357">
        <v>30237</v>
      </c>
      <c r="P245" s="357">
        <v>30237</v>
      </c>
      <c r="Q245" s="357">
        <v>30237</v>
      </c>
      <c r="R245" s="357">
        <v>30236.683199999999</v>
      </c>
      <c r="S245" s="357">
        <v>30237</v>
      </c>
      <c r="T245" s="357">
        <v>30237</v>
      </c>
      <c r="U245" s="357">
        <v>30237</v>
      </c>
      <c r="X245" s="500"/>
    </row>
    <row r="246" spans="1:24">
      <c r="A246" s="349">
        <v>217</v>
      </c>
      <c r="B246" s="353" t="s">
        <v>233</v>
      </c>
      <c r="C246" s="349" t="s">
        <v>365</v>
      </c>
      <c r="D246" s="357">
        <v>4463</v>
      </c>
      <c r="E246" s="357">
        <v>4475</v>
      </c>
      <c r="F246" s="357">
        <v>4426</v>
      </c>
      <c r="G246" s="357">
        <v>4401</v>
      </c>
      <c r="H246" s="357">
        <v>4450</v>
      </c>
      <c r="I246" s="357">
        <v>4426</v>
      </c>
      <c r="J246" s="357">
        <v>4437.8608000000004</v>
      </c>
      <c r="K246" s="357">
        <v>4437.8608000000004</v>
      </c>
      <c r="L246" s="357">
        <v>4438</v>
      </c>
      <c r="M246" s="357">
        <v>4438</v>
      </c>
      <c r="N246" s="357">
        <v>4215</v>
      </c>
      <c r="O246" s="357">
        <v>17924</v>
      </c>
      <c r="P246" s="357">
        <v>17924</v>
      </c>
      <c r="Q246" s="357">
        <v>17924</v>
      </c>
      <c r="R246" s="357">
        <v>17924.105599999999</v>
      </c>
      <c r="S246" s="357">
        <v>17924</v>
      </c>
      <c r="T246" s="357">
        <v>17924</v>
      </c>
      <c r="U246" s="357">
        <v>17924</v>
      </c>
      <c r="X246" s="500"/>
    </row>
    <row r="247" spans="1:24" ht="18">
      <c r="A247" s="349">
        <v>218</v>
      </c>
      <c r="B247" s="353" t="s">
        <v>234</v>
      </c>
      <c r="C247" s="349" t="s">
        <v>366</v>
      </c>
      <c r="D247" s="357">
        <v>4908</v>
      </c>
      <c r="E247" s="357">
        <v>4896</v>
      </c>
      <c r="F247" s="357">
        <v>4833</v>
      </c>
      <c r="G247" s="357">
        <v>4796</v>
      </c>
      <c r="H247" s="357">
        <v>4833</v>
      </c>
      <c r="I247" s="357">
        <v>4859</v>
      </c>
      <c r="J247" s="357">
        <v>4833.4543999999996</v>
      </c>
      <c r="K247" s="357">
        <v>4833.4543999999996</v>
      </c>
      <c r="L247" s="357">
        <v>4833</v>
      </c>
      <c r="M247" s="357">
        <v>4833</v>
      </c>
      <c r="N247" s="357">
        <v>4624</v>
      </c>
      <c r="O247" s="357">
        <v>18876</v>
      </c>
      <c r="P247" s="357">
        <v>18876</v>
      </c>
      <c r="Q247" s="357">
        <v>18876</v>
      </c>
      <c r="R247" s="357">
        <v>18875.934399999998</v>
      </c>
      <c r="S247" s="357">
        <v>18876</v>
      </c>
      <c r="T247" s="357">
        <v>18876</v>
      </c>
      <c r="U247" s="357">
        <v>18876</v>
      </c>
      <c r="X247" s="500"/>
    </row>
    <row r="248" spans="1:24">
      <c r="A248" s="349">
        <v>219</v>
      </c>
      <c r="B248" s="353" t="s">
        <v>234</v>
      </c>
      <c r="C248" s="349" t="s">
        <v>365</v>
      </c>
      <c r="D248" s="357">
        <v>25181</v>
      </c>
      <c r="E248" s="357">
        <v>25231</v>
      </c>
      <c r="F248" s="357">
        <v>25070</v>
      </c>
      <c r="G248" s="357">
        <v>24822</v>
      </c>
      <c r="H248" s="357">
        <v>25107</v>
      </c>
      <c r="I248" s="357">
        <v>24946</v>
      </c>
      <c r="J248" s="357">
        <v>25107.08</v>
      </c>
      <c r="K248" s="357">
        <v>25107.08</v>
      </c>
      <c r="L248" s="357">
        <v>25107</v>
      </c>
      <c r="M248" s="357">
        <v>25107</v>
      </c>
      <c r="N248" s="357">
        <v>24093</v>
      </c>
      <c r="O248" s="357">
        <v>97547</v>
      </c>
      <c r="P248" s="357">
        <v>97547</v>
      </c>
      <c r="Q248" s="357">
        <v>97547</v>
      </c>
      <c r="R248" s="357">
        <v>97546.606400000004</v>
      </c>
      <c r="S248" s="357">
        <v>97547</v>
      </c>
      <c r="T248" s="357">
        <v>97547</v>
      </c>
      <c r="U248" s="357">
        <v>97547</v>
      </c>
      <c r="X248" s="500"/>
    </row>
    <row r="249" spans="1:24" ht="18">
      <c r="A249" s="349">
        <v>220</v>
      </c>
      <c r="B249" s="353" t="s">
        <v>235</v>
      </c>
      <c r="C249" s="349" t="s">
        <v>366</v>
      </c>
      <c r="D249" s="357">
        <v>3993</v>
      </c>
      <c r="E249" s="357">
        <v>4005</v>
      </c>
      <c r="F249" s="357">
        <v>3944</v>
      </c>
      <c r="G249" s="357">
        <v>3919</v>
      </c>
      <c r="H249" s="357">
        <v>3956</v>
      </c>
      <c r="I249" s="357">
        <v>3944</v>
      </c>
      <c r="J249" s="357">
        <v>3955.9360000000001</v>
      </c>
      <c r="K249" s="357">
        <v>3955.9360000000001</v>
      </c>
      <c r="L249" s="357">
        <v>3956</v>
      </c>
      <c r="M249" s="357">
        <v>3956</v>
      </c>
      <c r="N249" s="357">
        <v>3807</v>
      </c>
      <c r="O249" s="357">
        <v>14994</v>
      </c>
      <c r="P249" s="357">
        <v>14994</v>
      </c>
      <c r="Q249" s="357">
        <v>14994</v>
      </c>
      <c r="R249" s="357">
        <v>14994.308800000001</v>
      </c>
      <c r="S249" s="357">
        <v>14994</v>
      </c>
      <c r="T249" s="357">
        <v>14994</v>
      </c>
      <c r="U249" s="357">
        <v>14994</v>
      </c>
      <c r="X249" s="500"/>
    </row>
    <row r="250" spans="1:24">
      <c r="A250" s="349">
        <v>221</v>
      </c>
      <c r="B250" s="353" t="s">
        <v>235</v>
      </c>
      <c r="C250" s="349" t="s">
        <v>365</v>
      </c>
      <c r="D250" s="357">
        <v>21040</v>
      </c>
      <c r="E250" s="357">
        <v>21015</v>
      </c>
      <c r="F250" s="357">
        <v>20854</v>
      </c>
      <c r="G250" s="357">
        <v>20744</v>
      </c>
      <c r="H250" s="357">
        <v>20941</v>
      </c>
      <c r="I250" s="357">
        <v>20916</v>
      </c>
      <c r="J250" s="357">
        <v>20904.171200000001</v>
      </c>
      <c r="K250" s="357">
        <v>20904.171200000001</v>
      </c>
      <c r="L250" s="357">
        <v>20904</v>
      </c>
      <c r="M250" s="357">
        <v>20904</v>
      </c>
      <c r="N250" s="357">
        <v>20261</v>
      </c>
      <c r="O250" s="357">
        <v>84691</v>
      </c>
      <c r="P250" s="357">
        <v>84691</v>
      </c>
      <c r="Q250" s="357">
        <v>84691</v>
      </c>
      <c r="R250" s="357">
        <v>84690.907200000001</v>
      </c>
      <c r="S250" s="357">
        <v>84691</v>
      </c>
      <c r="T250" s="357">
        <v>84691</v>
      </c>
      <c r="U250" s="357">
        <v>84691</v>
      </c>
      <c r="X250" s="500"/>
    </row>
    <row r="251" spans="1:24" ht="18">
      <c r="A251" s="349">
        <v>222</v>
      </c>
      <c r="B251" s="353" t="s">
        <v>236</v>
      </c>
      <c r="C251" s="349" t="s">
        <v>366</v>
      </c>
      <c r="D251" s="357">
        <v>2918</v>
      </c>
      <c r="E251" s="357">
        <v>2930</v>
      </c>
      <c r="F251" s="357">
        <v>2905</v>
      </c>
      <c r="G251" s="357">
        <v>2868</v>
      </c>
      <c r="H251" s="357">
        <v>2905</v>
      </c>
      <c r="I251" s="357">
        <v>2905</v>
      </c>
      <c r="J251" s="357">
        <v>2904.6624000000002</v>
      </c>
      <c r="K251" s="357">
        <v>2904.6624000000002</v>
      </c>
      <c r="L251" s="357">
        <v>2905</v>
      </c>
      <c r="M251" s="357">
        <v>2905</v>
      </c>
      <c r="N251" s="357">
        <v>2732</v>
      </c>
      <c r="O251" s="357">
        <v>11682</v>
      </c>
      <c r="P251" s="357">
        <v>11682</v>
      </c>
      <c r="Q251" s="357">
        <v>11682</v>
      </c>
      <c r="R251" s="357">
        <v>11682.031999999999</v>
      </c>
      <c r="S251" s="357">
        <v>11682</v>
      </c>
      <c r="T251" s="357">
        <v>11682</v>
      </c>
      <c r="U251" s="357">
        <v>11682</v>
      </c>
      <c r="X251" s="500"/>
    </row>
    <row r="252" spans="1:24">
      <c r="A252" s="349">
        <v>223</v>
      </c>
      <c r="B252" s="353" t="s">
        <v>236</v>
      </c>
      <c r="C252" s="349" t="s">
        <v>365</v>
      </c>
      <c r="D252" s="357">
        <v>14253</v>
      </c>
      <c r="E252" s="357">
        <v>14253</v>
      </c>
      <c r="F252" s="357">
        <v>14080</v>
      </c>
      <c r="G252" s="357">
        <v>13993</v>
      </c>
      <c r="H252" s="357">
        <v>14080</v>
      </c>
      <c r="I252" s="357">
        <v>14093</v>
      </c>
      <c r="J252" s="357">
        <v>14092.748799999999</v>
      </c>
      <c r="K252" s="357">
        <v>14092.748799999999</v>
      </c>
      <c r="L252" s="357">
        <v>14093</v>
      </c>
      <c r="M252" s="357">
        <v>14093</v>
      </c>
      <c r="N252" s="357">
        <v>13697</v>
      </c>
      <c r="O252" s="357">
        <v>53254</v>
      </c>
      <c r="P252" s="357">
        <v>53254</v>
      </c>
      <c r="Q252" s="357">
        <v>53254</v>
      </c>
      <c r="R252" s="357">
        <v>53254.329599999997</v>
      </c>
      <c r="S252" s="357">
        <v>53254</v>
      </c>
      <c r="T252" s="357">
        <v>53254</v>
      </c>
      <c r="U252" s="357">
        <v>53254</v>
      </c>
      <c r="X252" s="500"/>
    </row>
    <row r="253" spans="1:24" ht="18">
      <c r="A253" s="349">
        <v>224</v>
      </c>
      <c r="B253" s="353" t="s">
        <v>237</v>
      </c>
      <c r="C253" s="349" t="s">
        <v>366</v>
      </c>
      <c r="D253" s="357">
        <v>3721</v>
      </c>
      <c r="E253" s="357">
        <v>3733</v>
      </c>
      <c r="F253" s="357">
        <v>3709</v>
      </c>
      <c r="G253" s="357">
        <v>3672</v>
      </c>
      <c r="H253" s="357">
        <v>3709</v>
      </c>
      <c r="I253" s="357">
        <v>3696</v>
      </c>
      <c r="J253" s="357">
        <v>3708.9632000000001</v>
      </c>
      <c r="K253" s="357">
        <v>3708.9632000000001</v>
      </c>
      <c r="L253" s="357">
        <v>3709</v>
      </c>
      <c r="M253" s="357">
        <v>3709</v>
      </c>
      <c r="N253" s="357">
        <v>3535</v>
      </c>
      <c r="O253" s="357">
        <v>13499</v>
      </c>
      <c r="P253" s="357">
        <v>13499</v>
      </c>
      <c r="Q253" s="357">
        <v>13499</v>
      </c>
      <c r="R253" s="357">
        <v>13499.358399999999</v>
      </c>
      <c r="S253" s="357">
        <v>13499</v>
      </c>
      <c r="T253" s="357">
        <v>13499</v>
      </c>
      <c r="U253" s="357">
        <v>13499</v>
      </c>
      <c r="X253" s="500"/>
    </row>
    <row r="254" spans="1:24">
      <c r="A254" s="349">
        <v>225</v>
      </c>
      <c r="B254" s="353" t="s">
        <v>237</v>
      </c>
      <c r="C254" s="349" t="s">
        <v>365</v>
      </c>
      <c r="D254" s="357">
        <v>21212</v>
      </c>
      <c r="E254" s="357">
        <v>21237</v>
      </c>
      <c r="F254" s="357">
        <v>21015</v>
      </c>
      <c r="G254" s="357">
        <v>20830</v>
      </c>
      <c r="H254" s="357">
        <v>20991</v>
      </c>
      <c r="I254" s="357">
        <v>21065</v>
      </c>
      <c r="J254" s="357">
        <v>21113.988799999999</v>
      </c>
      <c r="K254" s="357">
        <v>21113.988799999999</v>
      </c>
      <c r="L254" s="357">
        <v>21114</v>
      </c>
      <c r="M254" s="357">
        <v>21114</v>
      </c>
      <c r="N254" s="357">
        <v>19915</v>
      </c>
      <c r="O254" s="357">
        <v>83170</v>
      </c>
      <c r="P254" s="357">
        <v>83170</v>
      </c>
      <c r="Q254" s="357">
        <v>83170</v>
      </c>
      <c r="R254" s="357">
        <v>83169.729600000006</v>
      </c>
      <c r="S254" s="357">
        <v>83170</v>
      </c>
      <c r="T254" s="357">
        <v>83170</v>
      </c>
      <c r="U254" s="357">
        <v>83170</v>
      </c>
      <c r="X254" s="500"/>
    </row>
    <row r="255" spans="1:24" ht="18">
      <c r="A255" s="349">
        <v>226</v>
      </c>
      <c r="B255" s="353" t="s">
        <v>238</v>
      </c>
      <c r="C255" s="349" t="s">
        <v>366</v>
      </c>
      <c r="D255" s="357">
        <v>4142</v>
      </c>
      <c r="E255" s="357">
        <v>4142</v>
      </c>
      <c r="F255" s="357">
        <v>4105</v>
      </c>
      <c r="G255" s="357">
        <v>4079</v>
      </c>
      <c r="H255" s="357">
        <v>4129</v>
      </c>
      <c r="I255" s="357">
        <v>4105</v>
      </c>
      <c r="J255" s="357">
        <v>4104.5568000000003</v>
      </c>
      <c r="K255" s="357">
        <v>4104.5568000000003</v>
      </c>
      <c r="L255" s="357">
        <v>4105</v>
      </c>
      <c r="M255" s="357">
        <v>4105</v>
      </c>
      <c r="N255" s="357">
        <v>3956</v>
      </c>
      <c r="O255" s="357">
        <v>16020</v>
      </c>
      <c r="P255" s="357">
        <v>16020</v>
      </c>
      <c r="Q255" s="357">
        <v>16020</v>
      </c>
      <c r="R255" s="357">
        <v>16020.448</v>
      </c>
      <c r="S255" s="357">
        <v>16020</v>
      </c>
      <c r="T255" s="357">
        <v>16020</v>
      </c>
      <c r="U255" s="357">
        <v>16020</v>
      </c>
      <c r="X255" s="500"/>
    </row>
    <row r="256" spans="1:24">
      <c r="A256" s="349">
        <v>227</v>
      </c>
      <c r="B256" s="353" t="s">
        <v>238</v>
      </c>
      <c r="C256" s="349" t="s">
        <v>365</v>
      </c>
      <c r="D256" s="357">
        <v>23586</v>
      </c>
      <c r="E256" s="357">
        <v>23549</v>
      </c>
      <c r="F256" s="357">
        <v>23339</v>
      </c>
      <c r="G256" s="357">
        <v>23092</v>
      </c>
      <c r="H256" s="357">
        <v>23351</v>
      </c>
      <c r="I256" s="357">
        <v>23376</v>
      </c>
      <c r="J256" s="357">
        <v>23401.2192</v>
      </c>
      <c r="K256" s="357">
        <v>23401.2192</v>
      </c>
      <c r="L256" s="357">
        <v>23401</v>
      </c>
      <c r="M256" s="357">
        <v>23401</v>
      </c>
      <c r="N256" s="357">
        <v>22226</v>
      </c>
      <c r="O256" s="357">
        <v>94456</v>
      </c>
      <c r="P256" s="357">
        <v>94456</v>
      </c>
      <c r="Q256" s="357">
        <v>94456</v>
      </c>
      <c r="R256" s="357">
        <v>94456.168000000005</v>
      </c>
      <c r="S256" s="357">
        <v>94456</v>
      </c>
      <c r="T256" s="357">
        <v>94456</v>
      </c>
      <c r="U256" s="357">
        <v>94456</v>
      </c>
      <c r="X256" s="500"/>
    </row>
    <row r="257" spans="1:24" ht="18">
      <c r="A257" s="349">
        <v>228</v>
      </c>
      <c r="B257" s="353" t="s">
        <v>239</v>
      </c>
      <c r="C257" s="349" t="s">
        <v>366</v>
      </c>
      <c r="D257" s="357">
        <v>1694</v>
      </c>
      <c r="E257" s="357">
        <v>1694</v>
      </c>
      <c r="F257" s="357">
        <v>1681</v>
      </c>
      <c r="G257" s="357">
        <v>1657</v>
      </c>
      <c r="H257" s="357">
        <v>1669</v>
      </c>
      <c r="I257" s="357">
        <v>1669</v>
      </c>
      <c r="J257" s="357">
        <v>1668.7056</v>
      </c>
      <c r="K257" s="357">
        <v>1668.7056</v>
      </c>
      <c r="L257" s="357">
        <v>1669</v>
      </c>
      <c r="M257" s="357">
        <v>1669</v>
      </c>
      <c r="N257" s="357">
        <v>1608</v>
      </c>
      <c r="O257" s="357">
        <v>6700</v>
      </c>
      <c r="P257" s="357">
        <v>6700</v>
      </c>
      <c r="Q257" s="357">
        <v>6700</v>
      </c>
      <c r="R257" s="357">
        <v>6699.9567999999999</v>
      </c>
      <c r="S257" s="357">
        <v>6700</v>
      </c>
      <c r="T257" s="357">
        <v>6700</v>
      </c>
      <c r="U257" s="357">
        <v>6700</v>
      </c>
      <c r="X257" s="500"/>
    </row>
    <row r="258" spans="1:24">
      <c r="A258" s="349">
        <v>229</v>
      </c>
      <c r="B258" s="353" t="s">
        <v>239</v>
      </c>
      <c r="C258" s="349" t="s">
        <v>365</v>
      </c>
      <c r="D258" s="357">
        <v>10272</v>
      </c>
      <c r="E258" s="357">
        <v>10323</v>
      </c>
      <c r="F258" s="357">
        <v>10186</v>
      </c>
      <c r="G258" s="357">
        <v>10149</v>
      </c>
      <c r="H258" s="357">
        <v>10211</v>
      </c>
      <c r="I258" s="357">
        <v>10235</v>
      </c>
      <c r="J258" s="357">
        <v>10248.278399999999</v>
      </c>
      <c r="K258" s="357">
        <v>10248.278399999999</v>
      </c>
      <c r="L258" s="357">
        <v>10248</v>
      </c>
      <c r="M258" s="357">
        <v>10248</v>
      </c>
      <c r="N258" s="357">
        <v>9630</v>
      </c>
      <c r="O258" s="357">
        <v>39941</v>
      </c>
      <c r="P258" s="357">
        <v>39941</v>
      </c>
      <c r="Q258" s="357">
        <v>39941</v>
      </c>
      <c r="R258" s="357">
        <v>39940.747199999998</v>
      </c>
      <c r="S258" s="357">
        <v>39941</v>
      </c>
      <c r="T258" s="357">
        <v>39941</v>
      </c>
      <c r="U258" s="357">
        <v>39941</v>
      </c>
      <c r="X258" s="500"/>
    </row>
    <row r="259" spans="1:24">
      <c r="A259" s="349">
        <v>230</v>
      </c>
      <c r="B259" s="353" t="s">
        <v>240</v>
      </c>
      <c r="C259" s="349" t="s">
        <v>365</v>
      </c>
      <c r="D259" s="357">
        <v>151666</v>
      </c>
      <c r="E259" s="357">
        <v>151061</v>
      </c>
      <c r="F259" s="357">
        <v>149935</v>
      </c>
      <c r="G259" s="357">
        <v>149441</v>
      </c>
      <c r="H259" s="357">
        <v>149985</v>
      </c>
      <c r="I259" s="357">
        <v>149911</v>
      </c>
      <c r="J259" s="357">
        <v>150293.8768</v>
      </c>
      <c r="K259" s="357">
        <v>150293.8768</v>
      </c>
      <c r="L259" s="357">
        <v>150294</v>
      </c>
      <c r="M259" s="357">
        <v>150294</v>
      </c>
      <c r="N259" s="357">
        <v>144941</v>
      </c>
      <c r="O259" s="357">
        <v>583809</v>
      </c>
      <c r="P259" s="357">
        <v>583809</v>
      </c>
      <c r="Q259" s="357">
        <v>583809</v>
      </c>
      <c r="R259" s="357">
        <v>583808.72959999996</v>
      </c>
      <c r="S259" s="357">
        <v>583809</v>
      </c>
      <c r="T259" s="357">
        <v>583809</v>
      </c>
      <c r="U259" s="357">
        <v>583809</v>
      </c>
      <c r="X259" s="500"/>
    </row>
    <row r="260" spans="1:24" ht="18">
      <c r="A260" s="349">
        <v>231</v>
      </c>
      <c r="B260" s="353" t="s">
        <v>241</v>
      </c>
      <c r="C260" s="349" t="s">
        <v>366</v>
      </c>
      <c r="D260" s="357">
        <v>3672</v>
      </c>
      <c r="E260" s="357">
        <v>3659</v>
      </c>
      <c r="F260" s="357">
        <v>3635</v>
      </c>
      <c r="G260" s="357">
        <v>3610</v>
      </c>
      <c r="H260" s="357">
        <v>3635</v>
      </c>
      <c r="I260" s="357">
        <v>3622</v>
      </c>
      <c r="J260" s="357">
        <v>3646.6736000000001</v>
      </c>
      <c r="K260" s="357">
        <v>3646.6736000000001</v>
      </c>
      <c r="L260" s="357">
        <v>3647</v>
      </c>
      <c r="M260" s="357">
        <v>3647</v>
      </c>
      <c r="N260" s="357">
        <v>3424</v>
      </c>
      <c r="O260" s="357">
        <v>14475</v>
      </c>
      <c r="P260" s="357">
        <v>14475</v>
      </c>
      <c r="Q260" s="357">
        <v>14475</v>
      </c>
      <c r="R260" s="357">
        <v>14475.228800000001</v>
      </c>
      <c r="S260" s="357">
        <v>14475</v>
      </c>
      <c r="T260" s="357">
        <v>14475</v>
      </c>
      <c r="U260" s="357">
        <v>14475</v>
      </c>
      <c r="X260" s="500"/>
    </row>
    <row r="261" spans="1:24">
      <c r="A261" s="349">
        <v>232</v>
      </c>
      <c r="B261" s="353" t="s">
        <v>241</v>
      </c>
      <c r="C261" s="349" t="s">
        <v>365</v>
      </c>
      <c r="D261" s="357">
        <v>21460</v>
      </c>
      <c r="E261" s="357">
        <v>21510</v>
      </c>
      <c r="F261" s="357">
        <v>21263</v>
      </c>
      <c r="G261" s="357">
        <v>21077</v>
      </c>
      <c r="H261" s="357">
        <v>21300</v>
      </c>
      <c r="I261" s="357">
        <v>21349</v>
      </c>
      <c r="J261" s="357">
        <v>21372.982400000001</v>
      </c>
      <c r="K261" s="357">
        <v>21372.982400000001</v>
      </c>
      <c r="L261" s="357">
        <v>21373</v>
      </c>
      <c r="M261" s="357">
        <v>21373</v>
      </c>
      <c r="N261" s="357">
        <v>20100</v>
      </c>
      <c r="O261" s="357">
        <v>86248</v>
      </c>
      <c r="P261" s="357">
        <v>86248</v>
      </c>
      <c r="Q261" s="357">
        <v>86248</v>
      </c>
      <c r="R261" s="357">
        <v>86248.147200000007</v>
      </c>
      <c r="S261" s="357">
        <v>86248</v>
      </c>
      <c r="T261" s="357">
        <v>86248</v>
      </c>
      <c r="U261" s="357">
        <v>86248</v>
      </c>
      <c r="X261" s="500"/>
    </row>
    <row r="262" spans="1:24" ht="18">
      <c r="A262" s="349">
        <v>233</v>
      </c>
      <c r="B262" s="353" t="s">
        <v>242</v>
      </c>
      <c r="C262" s="349" t="s">
        <v>366</v>
      </c>
      <c r="D262" s="357">
        <v>72588</v>
      </c>
      <c r="E262" s="357">
        <v>72551</v>
      </c>
      <c r="F262" s="357">
        <v>71970</v>
      </c>
      <c r="G262" s="357">
        <v>70957</v>
      </c>
      <c r="H262" s="357">
        <v>71760</v>
      </c>
      <c r="I262" s="357">
        <v>71685</v>
      </c>
      <c r="J262" s="357">
        <v>71735.763200000001</v>
      </c>
      <c r="K262" s="357">
        <v>71735.763200000001</v>
      </c>
      <c r="L262" s="357">
        <v>71736</v>
      </c>
      <c r="M262" s="357">
        <v>71736</v>
      </c>
      <c r="N262" s="357">
        <v>68472</v>
      </c>
      <c r="O262" s="357">
        <v>262501</v>
      </c>
      <c r="P262" s="357">
        <v>262501</v>
      </c>
      <c r="Q262" s="357">
        <v>262501</v>
      </c>
      <c r="R262" s="357">
        <v>262501.48800000001</v>
      </c>
      <c r="S262" s="357">
        <v>262501</v>
      </c>
      <c r="T262" s="357">
        <v>262501</v>
      </c>
      <c r="U262" s="357">
        <v>262501</v>
      </c>
      <c r="X262" s="500"/>
    </row>
    <row r="263" spans="1:24">
      <c r="A263" s="349">
        <v>234</v>
      </c>
      <c r="B263" s="353" t="s">
        <v>242</v>
      </c>
      <c r="C263" s="349" t="s">
        <v>365</v>
      </c>
      <c r="D263" s="357">
        <v>338650</v>
      </c>
      <c r="E263" s="357">
        <v>339132</v>
      </c>
      <c r="F263" s="357">
        <v>335498</v>
      </c>
      <c r="G263" s="357">
        <v>333397</v>
      </c>
      <c r="H263" s="357">
        <v>336524</v>
      </c>
      <c r="I263" s="357">
        <v>334954</v>
      </c>
      <c r="J263" s="357">
        <v>334781.4656</v>
      </c>
      <c r="K263" s="357">
        <v>334781.4656</v>
      </c>
      <c r="L263" s="357">
        <v>334781</v>
      </c>
      <c r="M263" s="357">
        <v>334781</v>
      </c>
      <c r="N263" s="357">
        <v>321220</v>
      </c>
      <c r="O263" s="357">
        <v>1353686</v>
      </c>
      <c r="P263" s="357">
        <v>1353686</v>
      </c>
      <c r="Q263" s="357">
        <v>1353686</v>
      </c>
      <c r="R263" s="357">
        <v>1353686.3296000001</v>
      </c>
      <c r="S263" s="357">
        <v>1353686</v>
      </c>
      <c r="T263" s="357">
        <v>1353686</v>
      </c>
      <c r="U263" s="357">
        <v>1353686</v>
      </c>
      <c r="X263" s="500"/>
    </row>
    <row r="264" spans="1:24" ht="18">
      <c r="A264" s="349">
        <v>235</v>
      </c>
      <c r="B264" s="353" t="s">
        <v>243</v>
      </c>
      <c r="C264" s="349" t="s">
        <v>366</v>
      </c>
      <c r="D264" s="357">
        <v>34860</v>
      </c>
      <c r="E264" s="357">
        <v>34860</v>
      </c>
      <c r="F264" s="357">
        <v>34502</v>
      </c>
      <c r="G264" s="357">
        <v>34167</v>
      </c>
      <c r="H264" s="357">
        <v>34465</v>
      </c>
      <c r="I264" s="357">
        <v>34687</v>
      </c>
      <c r="J264" s="357">
        <v>34650.502399999998</v>
      </c>
      <c r="K264" s="357">
        <v>34650.502399999998</v>
      </c>
      <c r="L264" s="357">
        <v>34651</v>
      </c>
      <c r="M264" s="357">
        <v>34651</v>
      </c>
      <c r="N264" s="357">
        <v>32585</v>
      </c>
      <c r="O264" s="357">
        <v>127598</v>
      </c>
      <c r="P264" s="357">
        <v>127598</v>
      </c>
      <c r="Q264" s="357">
        <v>127598</v>
      </c>
      <c r="R264" s="357">
        <v>127597.51360000001</v>
      </c>
      <c r="S264" s="357">
        <v>127598</v>
      </c>
      <c r="T264" s="357">
        <v>127598</v>
      </c>
      <c r="U264" s="357">
        <v>127598</v>
      </c>
      <c r="X264" s="500"/>
    </row>
    <row r="265" spans="1:24">
      <c r="A265" s="349">
        <v>236</v>
      </c>
      <c r="B265" s="353" t="s">
        <v>243</v>
      </c>
      <c r="C265" s="349" t="s">
        <v>365</v>
      </c>
      <c r="D265" s="357">
        <v>192917</v>
      </c>
      <c r="E265" s="357">
        <v>193041</v>
      </c>
      <c r="F265" s="357">
        <v>190989</v>
      </c>
      <c r="G265" s="357">
        <v>189592</v>
      </c>
      <c r="H265" s="357">
        <v>191954</v>
      </c>
      <c r="I265" s="357">
        <v>191286</v>
      </c>
      <c r="J265" s="357">
        <v>191842.13279999999</v>
      </c>
      <c r="K265" s="357">
        <v>191842.13279999999</v>
      </c>
      <c r="L265" s="357">
        <v>191842</v>
      </c>
      <c r="M265" s="357">
        <v>191842</v>
      </c>
      <c r="N265" s="357">
        <v>184017</v>
      </c>
      <c r="O265" s="357">
        <v>704471</v>
      </c>
      <c r="P265" s="357">
        <v>704471</v>
      </c>
      <c r="Q265" s="357">
        <v>704471</v>
      </c>
      <c r="R265" s="357">
        <v>704471.33440000005</v>
      </c>
      <c r="S265" s="357">
        <v>704471</v>
      </c>
      <c r="T265" s="357">
        <v>704471</v>
      </c>
      <c r="U265" s="357">
        <v>704471</v>
      </c>
      <c r="X265" s="500"/>
    </row>
    <row r="266" spans="1:24">
      <c r="A266" s="349">
        <v>237</v>
      </c>
      <c r="B266" s="353" t="s">
        <v>244</v>
      </c>
      <c r="C266" s="349" t="s">
        <v>365</v>
      </c>
      <c r="D266" s="357">
        <v>38260</v>
      </c>
      <c r="E266" s="357">
        <v>38186</v>
      </c>
      <c r="F266" s="357">
        <v>37939</v>
      </c>
      <c r="G266" s="357">
        <v>37753</v>
      </c>
      <c r="H266" s="357">
        <v>37975</v>
      </c>
      <c r="I266" s="357">
        <v>38111</v>
      </c>
      <c r="J266" s="357">
        <v>37888.468800000002</v>
      </c>
      <c r="K266" s="357">
        <v>37888.468800000002</v>
      </c>
      <c r="L266" s="357">
        <v>37888</v>
      </c>
      <c r="M266" s="357">
        <v>37888</v>
      </c>
      <c r="N266" s="357">
        <v>35973</v>
      </c>
      <c r="O266" s="357">
        <v>152248</v>
      </c>
      <c r="P266" s="357">
        <v>152248</v>
      </c>
      <c r="Q266" s="357">
        <v>152248</v>
      </c>
      <c r="R266" s="357">
        <v>152247.80319999999</v>
      </c>
      <c r="S266" s="357">
        <v>152248</v>
      </c>
      <c r="T266" s="357">
        <v>152248</v>
      </c>
      <c r="U266" s="357">
        <v>152248</v>
      </c>
      <c r="X266" s="500"/>
    </row>
    <row r="267" spans="1:24">
      <c r="A267" s="349">
        <v>238</v>
      </c>
      <c r="B267" s="353" t="s">
        <v>245</v>
      </c>
      <c r="C267" s="349" t="s">
        <v>365</v>
      </c>
      <c r="D267" s="357">
        <v>27072</v>
      </c>
      <c r="E267" s="357">
        <v>27072</v>
      </c>
      <c r="F267" s="357">
        <v>26788</v>
      </c>
      <c r="G267" s="357">
        <v>26639</v>
      </c>
      <c r="H267" s="357">
        <v>26751</v>
      </c>
      <c r="I267" s="357">
        <v>26911</v>
      </c>
      <c r="J267" s="357">
        <v>26887.251199999999</v>
      </c>
      <c r="K267" s="357">
        <v>26887.251199999999</v>
      </c>
      <c r="L267" s="357">
        <v>26887</v>
      </c>
      <c r="M267" s="357">
        <v>26887</v>
      </c>
      <c r="N267" s="357">
        <v>25478</v>
      </c>
      <c r="O267" s="357">
        <v>101996</v>
      </c>
      <c r="P267" s="357">
        <v>101996</v>
      </c>
      <c r="Q267" s="357">
        <v>101996</v>
      </c>
      <c r="R267" s="357">
        <v>101996.488</v>
      </c>
      <c r="S267" s="357">
        <v>101996</v>
      </c>
      <c r="T267" s="357">
        <v>101996</v>
      </c>
      <c r="U267" s="357">
        <v>101996</v>
      </c>
      <c r="X267" s="500"/>
    </row>
    <row r="268" spans="1:24" ht="18">
      <c r="A268" s="349">
        <v>239</v>
      </c>
      <c r="B268" s="353" t="s">
        <v>246</v>
      </c>
      <c r="C268" s="349" t="s">
        <v>366</v>
      </c>
      <c r="D268" s="357">
        <v>4067</v>
      </c>
      <c r="E268" s="357">
        <v>4067</v>
      </c>
      <c r="F268" s="357">
        <v>4042</v>
      </c>
      <c r="G268" s="357">
        <v>3993</v>
      </c>
      <c r="H268" s="357">
        <v>4042</v>
      </c>
      <c r="I268" s="357">
        <v>4030</v>
      </c>
      <c r="J268" s="357">
        <v>4017.1327999999999</v>
      </c>
      <c r="K268" s="357">
        <v>4017.1327999999999</v>
      </c>
      <c r="L268" s="357">
        <v>4017</v>
      </c>
      <c r="M268" s="357">
        <v>4017</v>
      </c>
      <c r="N268" s="357">
        <v>3870</v>
      </c>
      <c r="O268" s="357">
        <v>15156</v>
      </c>
      <c r="P268" s="357">
        <v>15156</v>
      </c>
      <c r="Q268" s="357">
        <v>15156</v>
      </c>
      <c r="R268" s="357">
        <v>15156.0432</v>
      </c>
      <c r="S268" s="357">
        <v>15156</v>
      </c>
      <c r="T268" s="357">
        <v>15156</v>
      </c>
      <c r="U268" s="357">
        <v>15156</v>
      </c>
      <c r="X268" s="500"/>
    </row>
    <row r="269" spans="1:24">
      <c r="A269" s="349">
        <v>240</v>
      </c>
      <c r="B269" s="353" t="s">
        <v>246</v>
      </c>
      <c r="C269" s="349" t="s">
        <v>365</v>
      </c>
      <c r="D269" s="357">
        <v>26331</v>
      </c>
      <c r="E269" s="357">
        <v>26504</v>
      </c>
      <c r="F269" s="357">
        <v>26133</v>
      </c>
      <c r="G269" s="357">
        <v>25985</v>
      </c>
      <c r="H269" s="357">
        <v>26294</v>
      </c>
      <c r="I269" s="357">
        <v>26257</v>
      </c>
      <c r="J269" s="357">
        <v>26305.881600000001</v>
      </c>
      <c r="K269" s="357">
        <v>26305.881600000001</v>
      </c>
      <c r="L269" s="357">
        <v>26306</v>
      </c>
      <c r="M269" s="357">
        <v>26306</v>
      </c>
      <c r="N269" s="357">
        <v>25193</v>
      </c>
      <c r="O269" s="357">
        <v>96570</v>
      </c>
      <c r="P269" s="357">
        <v>96570</v>
      </c>
      <c r="Q269" s="357">
        <v>96570</v>
      </c>
      <c r="R269" s="357">
        <v>96569.643199999991</v>
      </c>
      <c r="S269" s="357">
        <v>96570</v>
      </c>
      <c r="T269" s="357">
        <v>96570</v>
      </c>
      <c r="U269" s="357">
        <v>96570</v>
      </c>
      <c r="X269" s="500"/>
    </row>
    <row r="270" spans="1:24" ht="18">
      <c r="A270" s="349">
        <v>241</v>
      </c>
      <c r="B270" s="353" t="s">
        <v>247</v>
      </c>
      <c r="C270" s="349" t="s">
        <v>365</v>
      </c>
      <c r="D270" s="357">
        <v>22399</v>
      </c>
      <c r="E270" s="357">
        <v>22399</v>
      </c>
      <c r="F270" s="357">
        <v>22214</v>
      </c>
      <c r="G270" s="357">
        <v>22017</v>
      </c>
      <c r="H270" s="357">
        <v>22152</v>
      </c>
      <c r="I270" s="357">
        <v>22115</v>
      </c>
      <c r="J270" s="357">
        <v>22177.283199999998</v>
      </c>
      <c r="K270" s="357">
        <v>22177.283199999998</v>
      </c>
      <c r="L270" s="357">
        <v>22177</v>
      </c>
      <c r="M270" s="357">
        <v>22177</v>
      </c>
      <c r="N270" s="357">
        <v>21175</v>
      </c>
      <c r="O270" s="357">
        <v>82367</v>
      </c>
      <c r="P270" s="357">
        <v>82367</v>
      </c>
      <c r="Q270" s="357">
        <v>82367</v>
      </c>
      <c r="R270" s="357">
        <v>82366.521599999993</v>
      </c>
      <c r="S270" s="357">
        <v>82367</v>
      </c>
      <c r="T270" s="357">
        <v>82367</v>
      </c>
      <c r="U270" s="357">
        <v>82367</v>
      </c>
      <c r="X270" s="500"/>
    </row>
    <row r="271" spans="1:24">
      <c r="A271" s="349">
        <v>242</v>
      </c>
      <c r="B271" s="353" t="s">
        <v>248</v>
      </c>
      <c r="C271" s="349" t="s">
        <v>365</v>
      </c>
      <c r="D271" s="357">
        <v>26244</v>
      </c>
      <c r="E271" s="357">
        <v>26281</v>
      </c>
      <c r="F271" s="357">
        <v>26194</v>
      </c>
      <c r="G271" s="357">
        <v>25848</v>
      </c>
      <c r="H271" s="357">
        <v>26206</v>
      </c>
      <c r="I271" s="357">
        <v>26206</v>
      </c>
      <c r="J271" s="357">
        <v>26157.2608</v>
      </c>
      <c r="K271" s="357">
        <v>26157.2608</v>
      </c>
      <c r="L271" s="357">
        <v>26157</v>
      </c>
      <c r="M271" s="357">
        <v>26157</v>
      </c>
      <c r="N271" s="357">
        <v>24970</v>
      </c>
      <c r="O271" s="357">
        <v>102924</v>
      </c>
      <c r="P271" s="357">
        <v>102924</v>
      </c>
      <c r="Q271" s="357">
        <v>102924</v>
      </c>
      <c r="R271" s="357">
        <v>102924.2752</v>
      </c>
      <c r="S271" s="357">
        <v>102924</v>
      </c>
      <c r="T271" s="357">
        <v>102924</v>
      </c>
      <c r="U271" s="357">
        <v>102924</v>
      </c>
      <c r="X271" s="500"/>
    </row>
    <row r="272" spans="1:24">
      <c r="A272" s="349">
        <v>243</v>
      </c>
      <c r="B272" s="353" t="s">
        <v>249</v>
      </c>
      <c r="C272" s="349" t="s">
        <v>365</v>
      </c>
      <c r="D272" s="357">
        <v>7714</v>
      </c>
      <c r="E272" s="357">
        <v>7701</v>
      </c>
      <c r="F272" s="357">
        <v>7640</v>
      </c>
      <c r="G272" s="357">
        <v>7603</v>
      </c>
      <c r="H272" s="357">
        <v>7677</v>
      </c>
      <c r="I272" s="357">
        <v>7689</v>
      </c>
      <c r="J272" s="357">
        <v>7651.7856000000002</v>
      </c>
      <c r="K272" s="357">
        <v>7651.7856000000002</v>
      </c>
      <c r="L272" s="357">
        <v>7652</v>
      </c>
      <c r="M272" s="357">
        <v>7652</v>
      </c>
      <c r="N272" s="357">
        <v>7207</v>
      </c>
      <c r="O272" s="357">
        <v>29743</v>
      </c>
      <c r="P272" s="357">
        <v>29743</v>
      </c>
      <c r="Q272" s="357">
        <v>29743</v>
      </c>
      <c r="R272" s="357">
        <v>29742.7376</v>
      </c>
      <c r="S272" s="357">
        <v>29743</v>
      </c>
      <c r="T272" s="357">
        <v>29743</v>
      </c>
      <c r="U272" s="357">
        <v>29743</v>
      </c>
      <c r="X272" s="500"/>
    </row>
    <row r="273" spans="1:24">
      <c r="A273" s="349">
        <v>244</v>
      </c>
      <c r="B273" s="353" t="s">
        <v>250</v>
      </c>
      <c r="C273" s="349" t="s">
        <v>365</v>
      </c>
      <c r="D273" s="357">
        <v>25478</v>
      </c>
      <c r="E273" s="357">
        <v>25466</v>
      </c>
      <c r="F273" s="357">
        <v>25107</v>
      </c>
      <c r="G273" s="357">
        <v>25020</v>
      </c>
      <c r="H273" s="357">
        <v>25255</v>
      </c>
      <c r="I273" s="357">
        <v>25181</v>
      </c>
      <c r="J273" s="357">
        <v>25119.1008</v>
      </c>
      <c r="K273" s="357">
        <v>25119.1008</v>
      </c>
      <c r="L273" s="357">
        <v>25119</v>
      </c>
      <c r="M273" s="357">
        <v>25119</v>
      </c>
      <c r="N273" s="357">
        <v>24105</v>
      </c>
      <c r="O273" s="357">
        <v>95297</v>
      </c>
      <c r="P273" s="357">
        <v>95297</v>
      </c>
      <c r="Q273" s="357">
        <v>95297</v>
      </c>
      <c r="R273" s="357">
        <v>95296.531199999998</v>
      </c>
      <c r="S273" s="357">
        <v>95297</v>
      </c>
      <c r="T273" s="357">
        <v>95297</v>
      </c>
      <c r="U273" s="357">
        <v>95297</v>
      </c>
      <c r="X273" s="500"/>
    </row>
    <row r="274" spans="1:24">
      <c r="A274" s="349">
        <v>245</v>
      </c>
      <c r="B274" s="353" t="s">
        <v>251</v>
      </c>
      <c r="C274" s="349" t="s">
        <v>365</v>
      </c>
      <c r="D274" s="357">
        <v>72242</v>
      </c>
      <c r="E274" s="357">
        <v>72267</v>
      </c>
      <c r="F274" s="357">
        <v>72032</v>
      </c>
      <c r="G274" s="357">
        <v>71340</v>
      </c>
      <c r="H274" s="357">
        <v>72143</v>
      </c>
      <c r="I274" s="357">
        <v>71723</v>
      </c>
      <c r="J274" s="357">
        <v>71808.980800000005</v>
      </c>
      <c r="K274" s="357">
        <v>71808.980800000005</v>
      </c>
      <c r="L274" s="357">
        <v>71809</v>
      </c>
      <c r="M274" s="357">
        <v>71809</v>
      </c>
      <c r="N274" s="357">
        <v>68941</v>
      </c>
      <c r="O274" s="357">
        <v>262836</v>
      </c>
      <c r="P274" s="357">
        <v>262836</v>
      </c>
      <c r="Q274" s="357">
        <v>262836</v>
      </c>
      <c r="R274" s="357">
        <v>262835.8848</v>
      </c>
      <c r="S274" s="357">
        <v>262836</v>
      </c>
      <c r="T274" s="357">
        <v>262836</v>
      </c>
      <c r="U274" s="357">
        <v>262836</v>
      </c>
      <c r="X274" s="500"/>
    </row>
    <row r="275" spans="1:24">
      <c r="A275" s="349">
        <v>246</v>
      </c>
      <c r="B275" s="353" t="s">
        <v>252</v>
      </c>
      <c r="C275" s="349" t="s">
        <v>365</v>
      </c>
      <c r="D275" s="357">
        <v>37604</v>
      </c>
      <c r="E275" s="357">
        <v>37555</v>
      </c>
      <c r="F275" s="357">
        <v>37197</v>
      </c>
      <c r="G275" s="357">
        <v>37085</v>
      </c>
      <c r="H275" s="357">
        <v>37172</v>
      </c>
      <c r="I275" s="357">
        <v>37172</v>
      </c>
      <c r="J275" s="357">
        <v>37147.5504</v>
      </c>
      <c r="K275" s="357">
        <v>37147.5504</v>
      </c>
      <c r="L275" s="357">
        <v>37148</v>
      </c>
      <c r="M275" s="357">
        <v>37148</v>
      </c>
      <c r="N275" s="357">
        <v>35750</v>
      </c>
      <c r="O275" s="357">
        <v>150517</v>
      </c>
      <c r="P275" s="357">
        <v>150517</v>
      </c>
      <c r="Q275" s="357">
        <v>150517</v>
      </c>
      <c r="R275" s="357">
        <v>150516.80799999999</v>
      </c>
      <c r="S275" s="357">
        <v>150517</v>
      </c>
      <c r="T275" s="357">
        <v>150517</v>
      </c>
      <c r="U275" s="357">
        <v>150517</v>
      </c>
      <c r="X275" s="500"/>
    </row>
    <row r="276" spans="1:24">
      <c r="A276" s="349">
        <v>247</v>
      </c>
      <c r="B276" s="353" t="s">
        <v>253</v>
      </c>
      <c r="C276" s="349" t="s">
        <v>365</v>
      </c>
      <c r="D276" s="357">
        <v>88980</v>
      </c>
      <c r="E276" s="357">
        <v>89078</v>
      </c>
      <c r="F276" s="357">
        <v>88263</v>
      </c>
      <c r="G276" s="357">
        <v>87880</v>
      </c>
      <c r="H276" s="357">
        <v>88498</v>
      </c>
      <c r="I276" s="357">
        <v>88745</v>
      </c>
      <c r="J276" s="357">
        <v>88733.174400000004</v>
      </c>
      <c r="K276" s="357">
        <v>88733.174400000004</v>
      </c>
      <c r="L276" s="357">
        <v>88733</v>
      </c>
      <c r="M276" s="357">
        <v>88733</v>
      </c>
      <c r="N276" s="357">
        <v>84098</v>
      </c>
      <c r="O276" s="357">
        <v>332432</v>
      </c>
      <c r="P276" s="357">
        <v>332432</v>
      </c>
      <c r="Q276" s="357">
        <v>332432</v>
      </c>
      <c r="R276" s="357">
        <v>332431.94559999998</v>
      </c>
      <c r="S276" s="357">
        <v>332432</v>
      </c>
      <c r="T276" s="357">
        <v>332432</v>
      </c>
      <c r="U276" s="357">
        <v>332432</v>
      </c>
      <c r="X276" s="500"/>
    </row>
    <row r="277" spans="1:24" ht="18">
      <c r="A277" s="349">
        <v>248</v>
      </c>
      <c r="B277" s="353" t="s">
        <v>254</v>
      </c>
      <c r="C277" s="349" t="s">
        <v>366</v>
      </c>
      <c r="D277" s="357">
        <v>1620</v>
      </c>
      <c r="E277" s="357">
        <v>1620</v>
      </c>
      <c r="F277" s="357">
        <v>1608</v>
      </c>
      <c r="G277" s="357">
        <v>1582</v>
      </c>
      <c r="H277" s="357">
        <v>1608</v>
      </c>
      <c r="I277" s="357">
        <v>1594</v>
      </c>
      <c r="J277" s="357">
        <v>1607.5088000000001</v>
      </c>
      <c r="K277" s="357">
        <v>1607.5088000000001</v>
      </c>
      <c r="L277" s="357">
        <v>1608</v>
      </c>
      <c r="M277" s="357">
        <v>1608</v>
      </c>
      <c r="N277" s="357">
        <v>1533</v>
      </c>
      <c r="O277" s="357">
        <v>6342</v>
      </c>
      <c r="P277" s="357">
        <v>6342</v>
      </c>
      <c r="Q277" s="357">
        <v>6342</v>
      </c>
      <c r="R277" s="357">
        <v>6341.5183999999999</v>
      </c>
      <c r="S277" s="357">
        <v>6342</v>
      </c>
      <c r="T277" s="357">
        <v>6342</v>
      </c>
      <c r="U277" s="357">
        <v>6342</v>
      </c>
      <c r="X277" s="500"/>
    </row>
    <row r="278" spans="1:24">
      <c r="A278" s="349">
        <v>249</v>
      </c>
      <c r="B278" s="353" t="s">
        <v>254</v>
      </c>
      <c r="C278" s="349" t="s">
        <v>365</v>
      </c>
      <c r="D278" s="357">
        <v>10186</v>
      </c>
      <c r="E278" s="357">
        <v>10161</v>
      </c>
      <c r="F278" s="357">
        <v>10100</v>
      </c>
      <c r="G278" s="357">
        <v>9963</v>
      </c>
      <c r="H278" s="357">
        <v>10063</v>
      </c>
      <c r="I278" s="357">
        <v>10063</v>
      </c>
      <c r="J278" s="357">
        <v>10087.6368</v>
      </c>
      <c r="K278" s="357">
        <v>10087.6368</v>
      </c>
      <c r="L278" s="357">
        <v>10088</v>
      </c>
      <c r="M278" s="357">
        <v>10088</v>
      </c>
      <c r="N278" s="357">
        <v>9753</v>
      </c>
      <c r="O278" s="357">
        <v>40769</v>
      </c>
      <c r="P278" s="357">
        <v>40769</v>
      </c>
      <c r="Q278" s="357">
        <v>40769</v>
      </c>
      <c r="R278" s="357">
        <v>40769.089599999999</v>
      </c>
      <c r="S278" s="357">
        <v>40769</v>
      </c>
      <c r="T278" s="357">
        <v>40769</v>
      </c>
      <c r="U278" s="357">
        <v>40769</v>
      </c>
      <c r="X278" s="500"/>
    </row>
    <row r="279" spans="1:24">
      <c r="A279" s="349">
        <v>250</v>
      </c>
      <c r="B279" s="353" t="s">
        <v>255</v>
      </c>
      <c r="C279" s="349" t="s">
        <v>365</v>
      </c>
      <c r="D279" s="357">
        <v>4326</v>
      </c>
      <c r="E279" s="357">
        <v>4314</v>
      </c>
      <c r="F279" s="357">
        <v>4302</v>
      </c>
      <c r="G279" s="357">
        <v>4265</v>
      </c>
      <c r="H279" s="357">
        <v>4289</v>
      </c>
      <c r="I279" s="357">
        <v>4289</v>
      </c>
      <c r="J279" s="357">
        <v>4314.3743999999997</v>
      </c>
      <c r="K279" s="357">
        <v>4314.3743999999997</v>
      </c>
      <c r="L279" s="357">
        <v>4314</v>
      </c>
      <c r="M279" s="357">
        <v>4314</v>
      </c>
      <c r="N279" s="357">
        <v>4154</v>
      </c>
      <c r="O279" s="357">
        <v>16020</v>
      </c>
      <c r="P279" s="357">
        <v>16020</v>
      </c>
      <c r="Q279" s="357">
        <v>16020</v>
      </c>
      <c r="R279" s="357">
        <v>16020.448</v>
      </c>
      <c r="S279" s="357">
        <v>16020</v>
      </c>
      <c r="T279" s="357">
        <v>16020</v>
      </c>
      <c r="U279" s="357">
        <v>16020</v>
      </c>
      <c r="X279" s="500"/>
    </row>
    <row r="280" spans="1:24">
      <c r="A280" s="349">
        <v>251</v>
      </c>
      <c r="B280" s="353" t="s">
        <v>256</v>
      </c>
      <c r="C280" s="349" t="s">
        <v>365</v>
      </c>
      <c r="D280" s="357">
        <v>5464</v>
      </c>
      <c r="E280" s="357">
        <v>5439</v>
      </c>
      <c r="F280" s="357">
        <v>5415</v>
      </c>
      <c r="G280" s="357">
        <v>5378</v>
      </c>
      <c r="H280" s="357">
        <v>5427</v>
      </c>
      <c r="I280" s="357">
        <v>5415</v>
      </c>
      <c r="J280" s="357">
        <v>5426.8447999999999</v>
      </c>
      <c r="K280" s="357">
        <v>5426.8447999999999</v>
      </c>
      <c r="L280" s="357">
        <v>5427</v>
      </c>
      <c r="M280" s="357">
        <v>5427</v>
      </c>
      <c r="N280" s="357">
        <v>5229</v>
      </c>
      <c r="O280" s="357">
        <v>21608</v>
      </c>
      <c r="P280" s="357">
        <v>21608</v>
      </c>
      <c r="Q280" s="357">
        <v>21608</v>
      </c>
      <c r="R280" s="357">
        <v>21607.934399999998</v>
      </c>
      <c r="S280" s="357">
        <v>21608</v>
      </c>
      <c r="T280" s="357">
        <v>21608</v>
      </c>
      <c r="U280" s="357">
        <v>21608</v>
      </c>
      <c r="X280" s="500"/>
    </row>
    <row r="281" spans="1:24" ht="18">
      <c r="A281" s="349">
        <v>252</v>
      </c>
      <c r="B281" s="353" t="s">
        <v>239</v>
      </c>
      <c r="C281" s="349" t="s">
        <v>366</v>
      </c>
      <c r="D281" s="357">
        <v>1681</v>
      </c>
      <c r="E281" s="357">
        <v>1681</v>
      </c>
      <c r="F281" s="357">
        <v>1681</v>
      </c>
      <c r="G281" s="357">
        <v>1657</v>
      </c>
      <c r="H281" s="357">
        <v>1669</v>
      </c>
      <c r="I281" s="357">
        <v>1669</v>
      </c>
      <c r="J281" s="357">
        <v>1680.7264</v>
      </c>
      <c r="K281" s="357">
        <v>1680.7264</v>
      </c>
      <c r="L281" s="357">
        <v>1681</v>
      </c>
      <c r="M281" s="357">
        <v>1681</v>
      </c>
      <c r="N281" s="357">
        <v>1608</v>
      </c>
      <c r="O281" s="357">
        <v>6762</v>
      </c>
      <c r="P281" s="357">
        <v>6762</v>
      </c>
      <c r="Q281" s="357">
        <v>6762</v>
      </c>
      <c r="R281" s="357">
        <v>6762.2464</v>
      </c>
      <c r="S281" s="357">
        <v>6762</v>
      </c>
      <c r="T281" s="357">
        <v>6762</v>
      </c>
      <c r="U281" s="357">
        <v>6762</v>
      </c>
      <c r="X281" s="500"/>
    </row>
    <row r="282" spans="1:24">
      <c r="A282" s="349">
        <v>253</v>
      </c>
      <c r="B282" s="353" t="s">
        <v>239</v>
      </c>
      <c r="C282" s="349" t="s">
        <v>365</v>
      </c>
      <c r="D282" s="357">
        <v>10272</v>
      </c>
      <c r="E282" s="357">
        <v>10309</v>
      </c>
      <c r="F282" s="357">
        <v>10235</v>
      </c>
      <c r="G282" s="357">
        <v>10149</v>
      </c>
      <c r="H282" s="357">
        <v>10235</v>
      </c>
      <c r="I282" s="357">
        <v>10223</v>
      </c>
      <c r="J282" s="357">
        <v>10198.009599999999</v>
      </c>
      <c r="K282" s="357">
        <v>10198.009599999999</v>
      </c>
      <c r="L282" s="357">
        <v>10198</v>
      </c>
      <c r="M282" s="357">
        <v>10198</v>
      </c>
      <c r="N282" s="357">
        <v>9840</v>
      </c>
      <c r="O282" s="357">
        <v>39410</v>
      </c>
      <c r="P282" s="357">
        <v>39410</v>
      </c>
      <c r="Q282" s="357">
        <v>39410</v>
      </c>
      <c r="R282" s="357">
        <v>39409.646399999998</v>
      </c>
      <c r="S282" s="357">
        <v>39410</v>
      </c>
      <c r="T282" s="357">
        <v>39410</v>
      </c>
      <c r="U282" s="357">
        <v>39410</v>
      </c>
      <c r="X282" s="500"/>
    </row>
    <row r="283" spans="1:24" ht="18">
      <c r="A283" s="349">
        <v>254</v>
      </c>
      <c r="B283" s="353" t="s">
        <v>257</v>
      </c>
      <c r="C283" s="349" t="s">
        <v>366</v>
      </c>
      <c r="D283" s="357">
        <v>3659</v>
      </c>
      <c r="E283" s="357">
        <v>3672</v>
      </c>
      <c r="F283" s="357">
        <v>3622</v>
      </c>
      <c r="G283" s="357">
        <v>3597</v>
      </c>
      <c r="H283" s="357">
        <v>3647</v>
      </c>
      <c r="I283" s="357">
        <v>3635</v>
      </c>
      <c r="J283" s="357">
        <v>3621.5392000000002</v>
      </c>
      <c r="K283" s="357">
        <v>3621.5392000000002</v>
      </c>
      <c r="L283" s="357">
        <v>3622</v>
      </c>
      <c r="M283" s="357">
        <v>3622</v>
      </c>
      <c r="N283" s="357">
        <v>3437</v>
      </c>
      <c r="O283" s="357">
        <v>14426</v>
      </c>
      <c r="P283" s="357">
        <v>14426</v>
      </c>
      <c r="Q283" s="357">
        <v>14426</v>
      </c>
      <c r="R283" s="357">
        <v>14426.052799999999</v>
      </c>
      <c r="S283" s="357">
        <v>14426</v>
      </c>
      <c r="T283" s="357">
        <v>14426</v>
      </c>
      <c r="U283" s="357">
        <v>14426</v>
      </c>
      <c r="X283" s="500"/>
    </row>
    <row r="284" spans="1:24">
      <c r="A284" s="349">
        <v>255</v>
      </c>
      <c r="B284" s="353" t="s">
        <v>257</v>
      </c>
      <c r="C284" s="349" t="s">
        <v>365</v>
      </c>
      <c r="D284" s="357">
        <v>21472</v>
      </c>
      <c r="E284" s="357">
        <v>21460</v>
      </c>
      <c r="F284" s="357">
        <v>21300</v>
      </c>
      <c r="G284" s="357">
        <v>21188</v>
      </c>
      <c r="H284" s="357">
        <v>21312</v>
      </c>
      <c r="I284" s="357">
        <v>21349</v>
      </c>
      <c r="J284" s="357">
        <v>21311.785599999999</v>
      </c>
      <c r="K284" s="357">
        <v>21311.785599999999</v>
      </c>
      <c r="L284" s="357">
        <v>21312</v>
      </c>
      <c r="M284" s="357">
        <v>21312</v>
      </c>
      <c r="N284" s="357">
        <v>20311</v>
      </c>
      <c r="O284" s="357">
        <v>83504</v>
      </c>
      <c r="P284" s="357">
        <v>83504</v>
      </c>
      <c r="Q284" s="357">
        <v>83504</v>
      </c>
      <c r="R284" s="357">
        <v>83504.126399999994</v>
      </c>
      <c r="S284" s="357">
        <v>83504</v>
      </c>
      <c r="T284" s="357">
        <v>83504</v>
      </c>
      <c r="U284" s="357">
        <v>83504</v>
      </c>
      <c r="X284" s="500"/>
    </row>
    <row r="285" spans="1:24" ht="18">
      <c r="A285" s="349">
        <v>256</v>
      </c>
      <c r="B285" s="353" t="s">
        <v>258</v>
      </c>
      <c r="C285" s="349" t="s">
        <v>366</v>
      </c>
      <c r="D285" s="357">
        <v>50992</v>
      </c>
      <c r="E285" s="357">
        <v>50646</v>
      </c>
      <c r="F285" s="357">
        <v>50238</v>
      </c>
      <c r="G285" s="357">
        <v>49917</v>
      </c>
      <c r="H285" s="357">
        <v>50313</v>
      </c>
      <c r="I285" s="357">
        <v>50374</v>
      </c>
      <c r="J285" s="357">
        <v>50534.350399999996</v>
      </c>
      <c r="K285" s="357">
        <v>50534.350399999996</v>
      </c>
      <c r="L285" s="357">
        <v>50534</v>
      </c>
      <c r="M285" s="357">
        <v>50534</v>
      </c>
      <c r="N285" s="357">
        <v>48000</v>
      </c>
      <c r="O285" s="357">
        <v>195983</v>
      </c>
      <c r="P285" s="357">
        <v>195983</v>
      </c>
      <c r="Q285" s="357">
        <v>195983</v>
      </c>
      <c r="R285" s="357">
        <v>195982.75200000001</v>
      </c>
      <c r="S285" s="357">
        <v>195983</v>
      </c>
      <c r="T285" s="357">
        <v>195983</v>
      </c>
      <c r="U285" s="357">
        <v>195983</v>
      </c>
      <c r="X285" s="500"/>
    </row>
    <row r="286" spans="1:24">
      <c r="A286" s="349">
        <v>257</v>
      </c>
      <c r="B286" s="353" t="s">
        <v>258</v>
      </c>
      <c r="C286" s="349" t="s">
        <v>365</v>
      </c>
      <c r="D286" s="357">
        <v>304755</v>
      </c>
      <c r="E286" s="357">
        <v>303728</v>
      </c>
      <c r="F286" s="357">
        <v>301627</v>
      </c>
      <c r="G286" s="357">
        <v>298685</v>
      </c>
      <c r="H286" s="357">
        <v>301651</v>
      </c>
      <c r="I286" s="357">
        <v>301960</v>
      </c>
      <c r="J286" s="357">
        <v>302183.24160000001</v>
      </c>
      <c r="K286" s="357">
        <v>302183.24160000001</v>
      </c>
      <c r="L286" s="357">
        <v>302183</v>
      </c>
      <c r="M286" s="357">
        <v>302183</v>
      </c>
      <c r="N286" s="357">
        <v>286323</v>
      </c>
      <c r="O286" s="357">
        <v>1123412</v>
      </c>
      <c r="P286" s="357">
        <v>1123412</v>
      </c>
      <c r="Q286" s="357">
        <v>1123412</v>
      </c>
      <c r="R286" s="357">
        <v>1123411.5135999999</v>
      </c>
      <c r="S286" s="357">
        <v>1123412</v>
      </c>
      <c r="T286" s="357">
        <v>1123412</v>
      </c>
      <c r="U286" s="357">
        <v>1123412</v>
      </c>
      <c r="X286" s="500"/>
    </row>
    <row r="287" spans="1:24" ht="18">
      <c r="A287" s="349">
        <v>258</v>
      </c>
      <c r="B287" s="353" t="s">
        <v>242</v>
      </c>
      <c r="C287" s="349" t="s">
        <v>366</v>
      </c>
      <c r="D287" s="357">
        <v>74208</v>
      </c>
      <c r="E287" s="357">
        <v>74776</v>
      </c>
      <c r="F287" s="357">
        <v>73985</v>
      </c>
      <c r="G287" s="357">
        <v>73528</v>
      </c>
      <c r="H287" s="357">
        <v>73726</v>
      </c>
      <c r="I287" s="357">
        <v>73639</v>
      </c>
      <c r="J287" s="357">
        <v>73984.745599999995</v>
      </c>
      <c r="K287" s="357">
        <v>73984.745599999995</v>
      </c>
      <c r="L287" s="357">
        <v>73985</v>
      </c>
      <c r="M287" s="357">
        <v>73985</v>
      </c>
      <c r="N287" s="357">
        <v>70091</v>
      </c>
      <c r="O287" s="357">
        <v>294358</v>
      </c>
      <c r="P287" s="357">
        <v>294358</v>
      </c>
      <c r="Q287" s="357">
        <v>294358</v>
      </c>
      <c r="R287" s="357">
        <v>294357.70079999999</v>
      </c>
      <c r="S287" s="357">
        <v>294358</v>
      </c>
      <c r="T287" s="357">
        <v>294358</v>
      </c>
      <c r="U287" s="357">
        <v>294358</v>
      </c>
      <c r="X287" s="500"/>
    </row>
    <row r="288" spans="1:24">
      <c r="A288" s="349">
        <v>259</v>
      </c>
      <c r="B288" s="353" t="s">
        <v>242</v>
      </c>
      <c r="C288" s="349" t="s">
        <v>365</v>
      </c>
      <c r="D288" s="357">
        <v>409730</v>
      </c>
      <c r="E288" s="357">
        <v>410249</v>
      </c>
      <c r="F288" s="357">
        <v>407617</v>
      </c>
      <c r="G288" s="357">
        <v>404279</v>
      </c>
      <c r="H288" s="357">
        <v>406788</v>
      </c>
      <c r="I288" s="357">
        <v>407975</v>
      </c>
      <c r="J288" s="357">
        <v>408766.21120000002</v>
      </c>
      <c r="K288" s="357">
        <v>408766.21120000002</v>
      </c>
      <c r="L288" s="357">
        <v>408766</v>
      </c>
      <c r="M288" s="357">
        <v>408766</v>
      </c>
      <c r="N288" s="357">
        <v>396120</v>
      </c>
      <c r="O288" s="357">
        <v>1089342</v>
      </c>
      <c r="P288" s="357">
        <v>1089342</v>
      </c>
      <c r="Q288" s="357">
        <v>1089342</v>
      </c>
      <c r="R288" s="357">
        <v>1089342.3807999999</v>
      </c>
      <c r="S288" s="357">
        <v>1089342</v>
      </c>
      <c r="T288" s="357">
        <v>1089342</v>
      </c>
      <c r="U288" s="357">
        <v>1089342</v>
      </c>
      <c r="X288" s="500"/>
    </row>
    <row r="289" spans="1:24" ht="18">
      <c r="A289" s="349">
        <v>260</v>
      </c>
      <c r="B289" s="353" t="s">
        <v>243</v>
      </c>
      <c r="C289" s="349" t="s">
        <v>366</v>
      </c>
      <c r="D289" s="357">
        <v>41227</v>
      </c>
      <c r="E289" s="357">
        <v>41239</v>
      </c>
      <c r="F289" s="357">
        <v>40769</v>
      </c>
      <c r="G289" s="357">
        <v>40411</v>
      </c>
      <c r="H289" s="357">
        <v>40707</v>
      </c>
      <c r="I289" s="357">
        <v>40893</v>
      </c>
      <c r="J289" s="357">
        <v>40620.468800000002</v>
      </c>
      <c r="K289" s="357">
        <v>40620.468800000002</v>
      </c>
      <c r="L289" s="357">
        <v>40620</v>
      </c>
      <c r="M289" s="357">
        <v>40620</v>
      </c>
      <c r="N289" s="357">
        <v>39199</v>
      </c>
      <c r="O289" s="357">
        <v>149009</v>
      </c>
      <c r="P289" s="357">
        <v>149009</v>
      </c>
      <c r="Q289" s="357">
        <v>149009</v>
      </c>
      <c r="R289" s="357">
        <v>149008.74400000001</v>
      </c>
      <c r="S289" s="357">
        <v>149009</v>
      </c>
      <c r="T289" s="357">
        <v>149009</v>
      </c>
      <c r="U289" s="357">
        <v>149009</v>
      </c>
      <c r="X289" s="500"/>
    </row>
    <row r="290" spans="1:24">
      <c r="A290" s="349">
        <v>261</v>
      </c>
      <c r="B290" s="353" t="s">
        <v>243</v>
      </c>
      <c r="C290" s="349" t="s">
        <v>365</v>
      </c>
      <c r="D290" s="357">
        <v>203313</v>
      </c>
      <c r="E290" s="357">
        <v>202424</v>
      </c>
      <c r="F290" s="357">
        <v>201570</v>
      </c>
      <c r="G290" s="357">
        <v>200136</v>
      </c>
      <c r="H290" s="357">
        <v>200866</v>
      </c>
      <c r="I290" s="357">
        <v>200816</v>
      </c>
      <c r="J290" s="357">
        <v>201088.31359999999</v>
      </c>
      <c r="K290" s="357">
        <v>201088.31359999999</v>
      </c>
      <c r="L290" s="357">
        <v>201088</v>
      </c>
      <c r="M290" s="357">
        <v>201088</v>
      </c>
      <c r="N290" s="357">
        <v>192843</v>
      </c>
      <c r="O290" s="357">
        <v>767714</v>
      </c>
      <c r="P290" s="357">
        <v>767714</v>
      </c>
      <c r="Q290" s="357">
        <v>767714</v>
      </c>
      <c r="R290" s="357">
        <v>767713.85600000003</v>
      </c>
      <c r="S290" s="357">
        <v>767714</v>
      </c>
      <c r="T290" s="357">
        <v>767714</v>
      </c>
      <c r="U290" s="357">
        <v>767714</v>
      </c>
      <c r="X290" s="500"/>
    </row>
    <row r="291" spans="1:24" ht="18">
      <c r="A291" s="349">
        <v>262</v>
      </c>
      <c r="B291" s="353" t="s">
        <v>259</v>
      </c>
      <c r="C291" s="349" t="s">
        <v>366</v>
      </c>
      <c r="D291" s="357">
        <v>2707</v>
      </c>
      <c r="E291" s="357">
        <v>2707</v>
      </c>
      <c r="F291" s="357">
        <v>2695</v>
      </c>
      <c r="G291" s="357">
        <v>2670</v>
      </c>
      <c r="H291" s="357">
        <v>2695</v>
      </c>
      <c r="I291" s="357">
        <v>2695</v>
      </c>
      <c r="J291" s="357">
        <v>2669.7103999999999</v>
      </c>
      <c r="K291" s="357">
        <v>2669.7103999999999</v>
      </c>
      <c r="L291" s="357">
        <v>2670</v>
      </c>
      <c r="M291" s="357">
        <v>2670</v>
      </c>
      <c r="N291" s="357">
        <v>2609</v>
      </c>
      <c r="O291" s="357">
        <v>9828</v>
      </c>
      <c r="P291" s="357">
        <v>9828</v>
      </c>
      <c r="Q291" s="357">
        <v>9828</v>
      </c>
      <c r="R291" s="357">
        <v>9827.5504000000001</v>
      </c>
      <c r="S291" s="357">
        <v>9828</v>
      </c>
      <c r="T291" s="357">
        <v>9828</v>
      </c>
      <c r="U291" s="357">
        <v>9828</v>
      </c>
      <c r="X291" s="500"/>
    </row>
    <row r="292" spans="1:24">
      <c r="A292" s="349">
        <v>263</v>
      </c>
      <c r="B292" s="353" t="s">
        <v>259</v>
      </c>
      <c r="C292" s="349" t="s">
        <v>365</v>
      </c>
      <c r="D292" s="357">
        <v>16194</v>
      </c>
      <c r="E292" s="357">
        <v>16194</v>
      </c>
      <c r="F292" s="357">
        <v>16108</v>
      </c>
      <c r="G292" s="357">
        <v>15934</v>
      </c>
      <c r="H292" s="357">
        <v>16144</v>
      </c>
      <c r="I292" s="357">
        <v>16095</v>
      </c>
      <c r="J292" s="357">
        <v>16082.7376</v>
      </c>
      <c r="K292" s="357">
        <v>16082.7376</v>
      </c>
      <c r="L292" s="357">
        <v>16083</v>
      </c>
      <c r="M292" s="357">
        <v>16083</v>
      </c>
      <c r="N292" s="357">
        <v>15415</v>
      </c>
      <c r="O292" s="357">
        <v>60659</v>
      </c>
      <c r="P292" s="357">
        <v>60659</v>
      </c>
      <c r="Q292" s="357">
        <v>60659</v>
      </c>
      <c r="R292" s="357">
        <v>60659.142399999997</v>
      </c>
      <c r="S292" s="357">
        <v>60659</v>
      </c>
      <c r="T292" s="357">
        <v>60659</v>
      </c>
      <c r="U292" s="357">
        <v>60659</v>
      </c>
      <c r="X292" s="500"/>
    </row>
    <row r="293" spans="1:24" ht="18">
      <c r="A293" s="349">
        <v>264</v>
      </c>
      <c r="B293" s="353" t="s">
        <v>260</v>
      </c>
      <c r="C293" s="349" t="s">
        <v>366</v>
      </c>
      <c r="D293" s="357">
        <v>11633</v>
      </c>
      <c r="E293" s="357">
        <v>11657</v>
      </c>
      <c r="F293" s="357">
        <v>11484</v>
      </c>
      <c r="G293" s="357">
        <v>11398</v>
      </c>
      <c r="H293" s="357">
        <v>11533</v>
      </c>
      <c r="I293" s="357">
        <v>11533</v>
      </c>
      <c r="J293" s="357">
        <v>11558.545599999999</v>
      </c>
      <c r="K293" s="357">
        <v>11558.545599999999</v>
      </c>
      <c r="L293" s="357">
        <v>11559</v>
      </c>
      <c r="M293" s="357">
        <v>11559</v>
      </c>
      <c r="N293" s="357">
        <v>10989</v>
      </c>
      <c r="O293" s="357">
        <v>43093</v>
      </c>
      <c r="P293" s="357">
        <v>43093</v>
      </c>
      <c r="Q293" s="357">
        <v>43093</v>
      </c>
      <c r="R293" s="357">
        <v>43093.475200000001</v>
      </c>
      <c r="S293" s="357">
        <v>43093</v>
      </c>
      <c r="T293" s="357">
        <v>43093</v>
      </c>
      <c r="U293" s="357">
        <v>43093</v>
      </c>
      <c r="X293" s="500"/>
    </row>
    <row r="294" spans="1:24">
      <c r="A294" s="349">
        <v>265</v>
      </c>
      <c r="B294" s="353" t="s">
        <v>260</v>
      </c>
      <c r="C294" s="349" t="s">
        <v>365</v>
      </c>
      <c r="D294" s="357">
        <v>89648</v>
      </c>
      <c r="E294" s="357">
        <v>89363</v>
      </c>
      <c r="F294" s="357">
        <v>88683</v>
      </c>
      <c r="G294" s="357">
        <v>88263</v>
      </c>
      <c r="H294" s="357">
        <v>89066</v>
      </c>
      <c r="I294" s="357">
        <v>88646</v>
      </c>
      <c r="J294" s="357">
        <v>88559.419200000004</v>
      </c>
      <c r="K294" s="357">
        <v>88559.419200000004</v>
      </c>
      <c r="L294" s="357">
        <v>88559</v>
      </c>
      <c r="M294" s="357">
        <v>88559</v>
      </c>
      <c r="N294" s="357">
        <v>83738</v>
      </c>
      <c r="O294" s="357">
        <v>324582</v>
      </c>
      <c r="P294" s="357">
        <v>324582</v>
      </c>
      <c r="Q294" s="357">
        <v>324582</v>
      </c>
      <c r="R294" s="357">
        <v>324582.36320000002</v>
      </c>
      <c r="S294" s="357">
        <v>324582</v>
      </c>
      <c r="T294" s="357">
        <v>324582</v>
      </c>
      <c r="U294" s="357">
        <v>324582</v>
      </c>
      <c r="X294" s="500"/>
    </row>
    <row r="295" spans="1:24" ht="18">
      <c r="A295" s="349">
        <v>266</v>
      </c>
      <c r="B295" s="353" t="s">
        <v>261</v>
      </c>
      <c r="C295" s="349" t="s">
        <v>366</v>
      </c>
      <c r="D295" s="357">
        <v>20236</v>
      </c>
      <c r="E295" s="357">
        <v>20261</v>
      </c>
      <c r="F295" s="357">
        <v>20100</v>
      </c>
      <c r="G295" s="357">
        <v>20026</v>
      </c>
      <c r="H295" s="357">
        <v>20150</v>
      </c>
      <c r="I295" s="357">
        <v>20174</v>
      </c>
      <c r="J295" s="357">
        <v>20211.335999999999</v>
      </c>
      <c r="K295" s="357">
        <v>20211.335999999999</v>
      </c>
      <c r="L295" s="357">
        <v>20211</v>
      </c>
      <c r="M295" s="357">
        <v>20211</v>
      </c>
      <c r="N295" s="357">
        <v>19074</v>
      </c>
      <c r="O295" s="357">
        <v>78794</v>
      </c>
      <c r="P295" s="357">
        <v>78794</v>
      </c>
      <c r="Q295" s="357">
        <v>78794</v>
      </c>
      <c r="R295" s="357">
        <v>78794.1584</v>
      </c>
      <c r="S295" s="357">
        <v>78794</v>
      </c>
      <c r="T295" s="357">
        <v>78794</v>
      </c>
      <c r="U295" s="357">
        <v>78794</v>
      </c>
      <c r="X295" s="500"/>
    </row>
    <row r="296" spans="1:24">
      <c r="A296" s="349">
        <v>267</v>
      </c>
      <c r="B296" s="353" t="s">
        <v>261</v>
      </c>
      <c r="C296" s="349" t="s">
        <v>365</v>
      </c>
      <c r="D296" s="357">
        <v>101712</v>
      </c>
      <c r="E296" s="357">
        <v>101218</v>
      </c>
      <c r="F296" s="357">
        <v>101045</v>
      </c>
      <c r="G296" s="357">
        <v>99550</v>
      </c>
      <c r="H296" s="357">
        <v>100847</v>
      </c>
      <c r="I296" s="357">
        <v>100439</v>
      </c>
      <c r="J296" s="357">
        <v>100871.99679999999</v>
      </c>
      <c r="K296" s="357">
        <v>100871.99679999999</v>
      </c>
      <c r="L296" s="357">
        <v>100872</v>
      </c>
      <c r="M296" s="357">
        <v>100872</v>
      </c>
      <c r="N296" s="357">
        <v>94617</v>
      </c>
      <c r="O296" s="357">
        <v>374239</v>
      </c>
      <c r="P296" s="357">
        <v>374239</v>
      </c>
      <c r="Q296" s="357">
        <v>374239</v>
      </c>
      <c r="R296" s="357">
        <v>374239.19520000002</v>
      </c>
      <c r="S296" s="357">
        <v>374239</v>
      </c>
      <c r="T296" s="357">
        <v>374239</v>
      </c>
      <c r="U296" s="357">
        <v>374239</v>
      </c>
      <c r="X296" s="500"/>
    </row>
    <row r="297" spans="1:24" ht="18">
      <c r="A297" s="349">
        <v>268</v>
      </c>
      <c r="B297" s="353" t="s">
        <v>262</v>
      </c>
      <c r="C297" s="349" t="s">
        <v>366</v>
      </c>
      <c r="D297" s="357">
        <v>3659</v>
      </c>
      <c r="E297" s="357">
        <v>3659</v>
      </c>
      <c r="F297" s="357">
        <v>3622</v>
      </c>
      <c r="G297" s="357">
        <v>3610</v>
      </c>
      <c r="H297" s="357">
        <v>3622</v>
      </c>
      <c r="I297" s="357">
        <v>3635</v>
      </c>
      <c r="J297" s="357">
        <v>3621.5392000000002</v>
      </c>
      <c r="K297" s="357">
        <v>3621.5392000000002</v>
      </c>
      <c r="L297" s="357">
        <v>3622</v>
      </c>
      <c r="M297" s="357">
        <v>3622</v>
      </c>
      <c r="N297" s="357">
        <v>3437</v>
      </c>
      <c r="O297" s="357">
        <v>13523</v>
      </c>
      <c r="P297" s="357">
        <v>13523</v>
      </c>
      <c r="Q297" s="357">
        <v>13523</v>
      </c>
      <c r="R297" s="357">
        <v>13523.4</v>
      </c>
      <c r="S297" s="357">
        <v>13523</v>
      </c>
      <c r="T297" s="357">
        <v>13523</v>
      </c>
      <c r="U297" s="357">
        <v>13523</v>
      </c>
      <c r="X297" s="500"/>
    </row>
    <row r="298" spans="1:24">
      <c r="A298" s="349">
        <v>269</v>
      </c>
      <c r="B298" s="353" t="s">
        <v>262</v>
      </c>
      <c r="C298" s="349" t="s">
        <v>365</v>
      </c>
      <c r="D298" s="357">
        <v>22264</v>
      </c>
      <c r="E298" s="357">
        <v>22115</v>
      </c>
      <c r="F298" s="357">
        <v>21979</v>
      </c>
      <c r="G298" s="357">
        <v>21893</v>
      </c>
      <c r="H298" s="357">
        <v>21992</v>
      </c>
      <c r="I298" s="357">
        <v>22017</v>
      </c>
      <c r="J298" s="357">
        <v>22003.527999999998</v>
      </c>
      <c r="K298" s="357">
        <v>22003.527999999998</v>
      </c>
      <c r="L298" s="357">
        <v>22004</v>
      </c>
      <c r="M298" s="357">
        <v>22004</v>
      </c>
      <c r="N298" s="357">
        <v>21188</v>
      </c>
      <c r="O298" s="357">
        <v>84270</v>
      </c>
      <c r="P298" s="357">
        <v>84270</v>
      </c>
      <c r="Q298" s="357">
        <v>84270</v>
      </c>
      <c r="R298" s="357">
        <v>84270.179199999999</v>
      </c>
      <c r="S298" s="357">
        <v>84270</v>
      </c>
      <c r="T298" s="357">
        <v>84270</v>
      </c>
      <c r="U298" s="357">
        <v>84270</v>
      </c>
      <c r="X298" s="500"/>
    </row>
    <row r="299" spans="1:24" ht="18">
      <c r="A299" s="349">
        <v>270</v>
      </c>
      <c r="B299" s="353" t="s">
        <v>263</v>
      </c>
      <c r="C299" s="349" t="s">
        <v>366</v>
      </c>
      <c r="D299" s="357">
        <v>4586</v>
      </c>
      <c r="E299" s="357">
        <v>4586</v>
      </c>
      <c r="F299" s="357">
        <v>4524</v>
      </c>
      <c r="G299" s="357">
        <v>4487</v>
      </c>
      <c r="H299" s="357">
        <v>4524</v>
      </c>
      <c r="I299" s="357">
        <v>4524</v>
      </c>
      <c r="J299" s="357">
        <v>4549.3263999999999</v>
      </c>
      <c r="K299" s="357">
        <v>4549.3263999999999</v>
      </c>
      <c r="L299" s="357">
        <v>4549</v>
      </c>
      <c r="M299" s="357">
        <v>4549</v>
      </c>
      <c r="N299" s="357">
        <v>4389</v>
      </c>
      <c r="O299" s="357">
        <v>18159</v>
      </c>
      <c r="P299" s="357">
        <v>18159</v>
      </c>
      <c r="Q299" s="357">
        <v>18159</v>
      </c>
      <c r="R299" s="357">
        <v>18159.0576</v>
      </c>
      <c r="S299" s="357">
        <v>18159</v>
      </c>
      <c r="T299" s="357">
        <v>18159</v>
      </c>
      <c r="U299" s="357">
        <v>18159</v>
      </c>
      <c r="X299" s="500"/>
    </row>
    <row r="300" spans="1:24">
      <c r="A300" s="349">
        <v>271</v>
      </c>
      <c r="B300" s="353" t="s">
        <v>263</v>
      </c>
      <c r="C300" s="349" t="s">
        <v>365</v>
      </c>
      <c r="D300" s="357">
        <v>30979</v>
      </c>
      <c r="E300" s="357">
        <v>31077</v>
      </c>
      <c r="F300" s="357">
        <v>30830</v>
      </c>
      <c r="G300" s="357">
        <v>30583</v>
      </c>
      <c r="H300" s="357">
        <v>30695</v>
      </c>
      <c r="I300" s="357">
        <v>30855</v>
      </c>
      <c r="J300" s="357">
        <v>30743.742399999999</v>
      </c>
      <c r="K300" s="357">
        <v>30743.742399999999</v>
      </c>
      <c r="L300" s="357">
        <v>30744</v>
      </c>
      <c r="M300" s="357">
        <v>30744</v>
      </c>
      <c r="N300" s="357">
        <v>29458</v>
      </c>
      <c r="O300" s="357">
        <v>115508</v>
      </c>
      <c r="P300" s="357">
        <v>115508</v>
      </c>
      <c r="Q300" s="357">
        <v>115508</v>
      </c>
      <c r="R300" s="357">
        <v>115507.86719999999</v>
      </c>
      <c r="S300" s="357">
        <v>115508</v>
      </c>
      <c r="T300" s="357">
        <v>115508</v>
      </c>
      <c r="U300" s="357">
        <v>115508</v>
      </c>
      <c r="X300" s="500"/>
    </row>
    <row r="301" spans="1:24" ht="18">
      <c r="A301" s="349">
        <v>272</v>
      </c>
      <c r="B301" s="353" t="s">
        <v>264</v>
      </c>
      <c r="C301" s="349" t="s">
        <v>366</v>
      </c>
      <c r="D301" s="357">
        <v>7430</v>
      </c>
      <c r="E301" s="357">
        <v>7454</v>
      </c>
      <c r="F301" s="357">
        <v>7380</v>
      </c>
      <c r="G301" s="357">
        <v>7331</v>
      </c>
      <c r="H301" s="357">
        <v>7368</v>
      </c>
      <c r="I301" s="357">
        <v>7380</v>
      </c>
      <c r="J301" s="357">
        <v>7379.6783999999998</v>
      </c>
      <c r="K301" s="357">
        <v>7379.6783999999998</v>
      </c>
      <c r="L301" s="357">
        <v>7380</v>
      </c>
      <c r="M301" s="357">
        <v>7380</v>
      </c>
      <c r="N301" s="357">
        <v>6972</v>
      </c>
      <c r="O301" s="357">
        <v>27518</v>
      </c>
      <c r="P301" s="357">
        <v>27518</v>
      </c>
      <c r="Q301" s="357">
        <v>27518</v>
      </c>
      <c r="R301" s="357">
        <v>27517.7968</v>
      </c>
      <c r="S301" s="357">
        <v>27518</v>
      </c>
      <c r="T301" s="357">
        <v>27518</v>
      </c>
      <c r="U301" s="357">
        <v>27518</v>
      </c>
      <c r="X301" s="500"/>
    </row>
    <row r="302" spans="1:24">
      <c r="A302" s="349">
        <v>273</v>
      </c>
      <c r="B302" s="353" t="s">
        <v>264</v>
      </c>
      <c r="C302" s="349" t="s">
        <v>365</v>
      </c>
      <c r="D302" s="357">
        <v>48433</v>
      </c>
      <c r="E302" s="357">
        <v>48248</v>
      </c>
      <c r="F302" s="357">
        <v>47951</v>
      </c>
      <c r="G302" s="357">
        <v>47655</v>
      </c>
      <c r="H302" s="357">
        <v>47951</v>
      </c>
      <c r="I302" s="357">
        <v>48100</v>
      </c>
      <c r="J302" s="357">
        <v>47926.929600000003</v>
      </c>
      <c r="K302" s="357">
        <v>47926.929600000003</v>
      </c>
      <c r="L302" s="357">
        <v>47927</v>
      </c>
      <c r="M302" s="357">
        <v>47927</v>
      </c>
      <c r="N302" s="357">
        <v>46294</v>
      </c>
      <c r="O302" s="357">
        <v>175240</v>
      </c>
      <c r="P302" s="357">
        <v>175240</v>
      </c>
      <c r="Q302" s="357">
        <v>175240</v>
      </c>
      <c r="R302" s="357">
        <v>175240.31520000001</v>
      </c>
      <c r="S302" s="357">
        <v>175240</v>
      </c>
      <c r="T302" s="357">
        <v>175240</v>
      </c>
      <c r="U302" s="357">
        <v>175240</v>
      </c>
      <c r="X302" s="500"/>
    </row>
    <row r="303" spans="1:24" ht="18">
      <c r="A303" s="349">
        <v>274</v>
      </c>
      <c r="B303" s="353" t="s">
        <v>265</v>
      </c>
      <c r="C303" s="349" t="s">
        <v>366</v>
      </c>
      <c r="D303" s="357">
        <v>7034</v>
      </c>
      <c r="E303" s="357">
        <v>7021</v>
      </c>
      <c r="F303" s="357">
        <v>6972</v>
      </c>
      <c r="G303" s="357">
        <v>6886</v>
      </c>
      <c r="H303" s="357">
        <v>6960</v>
      </c>
      <c r="I303" s="357">
        <v>6984</v>
      </c>
      <c r="J303" s="357">
        <v>6972.0640000000003</v>
      </c>
      <c r="K303" s="357">
        <v>6972.0640000000003</v>
      </c>
      <c r="L303" s="357">
        <v>6972</v>
      </c>
      <c r="M303" s="357">
        <v>6972</v>
      </c>
      <c r="N303" s="357">
        <v>6749</v>
      </c>
      <c r="O303" s="357">
        <v>26652</v>
      </c>
      <c r="P303" s="357">
        <v>26652</v>
      </c>
      <c r="Q303" s="357">
        <v>26652</v>
      </c>
      <c r="R303" s="357">
        <v>26652.299200000001</v>
      </c>
      <c r="S303" s="357">
        <v>26652</v>
      </c>
      <c r="T303" s="357">
        <v>26652</v>
      </c>
      <c r="U303" s="357">
        <v>26652</v>
      </c>
      <c r="X303" s="500"/>
    </row>
    <row r="304" spans="1:24">
      <c r="A304" s="349">
        <v>275</v>
      </c>
      <c r="B304" s="353" t="s">
        <v>265</v>
      </c>
      <c r="C304" s="349" t="s">
        <v>365</v>
      </c>
      <c r="D304" s="357">
        <v>63193</v>
      </c>
      <c r="E304" s="357">
        <v>63477</v>
      </c>
      <c r="F304" s="357">
        <v>62735</v>
      </c>
      <c r="G304" s="357">
        <v>62044</v>
      </c>
      <c r="H304" s="357">
        <v>62958</v>
      </c>
      <c r="I304" s="357">
        <v>62711</v>
      </c>
      <c r="J304" s="357">
        <v>62674.265599999999</v>
      </c>
      <c r="K304" s="357">
        <v>62674.265599999999</v>
      </c>
      <c r="L304" s="357">
        <v>62674</v>
      </c>
      <c r="M304" s="357">
        <v>62674</v>
      </c>
      <c r="N304" s="357">
        <v>59188</v>
      </c>
      <c r="O304" s="357">
        <v>238619</v>
      </c>
      <c r="P304" s="357">
        <v>238619</v>
      </c>
      <c r="Q304" s="357">
        <v>238619</v>
      </c>
      <c r="R304" s="357">
        <v>238619.4368</v>
      </c>
      <c r="S304" s="357">
        <v>238619</v>
      </c>
      <c r="T304" s="357">
        <v>238619</v>
      </c>
      <c r="U304" s="357">
        <v>238619</v>
      </c>
      <c r="X304" s="500"/>
    </row>
    <row r="305" spans="1:24" ht="18">
      <c r="A305" s="349">
        <v>276</v>
      </c>
      <c r="B305" s="353" t="s">
        <v>266</v>
      </c>
      <c r="C305" s="349" t="s">
        <v>366</v>
      </c>
      <c r="D305" s="357">
        <v>10532</v>
      </c>
      <c r="E305" s="357">
        <v>10470</v>
      </c>
      <c r="F305" s="357">
        <v>10372</v>
      </c>
      <c r="G305" s="357">
        <v>10297</v>
      </c>
      <c r="H305" s="357">
        <v>10372</v>
      </c>
      <c r="I305" s="357">
        <v>10409</v>
      </c>
      <c r="J305" s="357">
        <v>10446.075199999999</v>
      </c>
      <c r="K305" s="357">
        <v>10446.075199999999</v>
      </c>
      <c r="L305" s="357">
        <v>10446</v>
      </c>
      <c r="M305" s="357">
        <v>10446</v>
      </c>
      <c r="N305" s="357">
        <v>9927</v>
      </c>
      <c r="O305" s="357">
        <v>39743</v>
      </c>
      <c r="P305" s="357">
        <v>39743</v>
      </c>
      <c r="Q305" s="357">
        <v>39743</v>
      </c>
      <c r="R305" s="357">
        <v>39742.950400000002</v>
      </c>
      <c r="S305" s="357">
        <v>39743</v>
      </c>
      <c r="T305" s="357">
        <v>39743</v>
      </c>
      <c r="U305" s="357">
        <v>39743</v>
      </c>
      <c r="X305" s="500"/>
    </row>
    <row r="306" spans="1:24">
      <c r="A306" s="349">
        <v>277</v>
      </c>
      <c r="B306" s="353" t="s">
        <v>266</v>
      </c>
      <c r="C306" s="349" t="s">
        <v>365</v>
      </c>
      <c r="D306" s="357">
        <v>77112</v>
      </c>
      <c r="E306" s="357">
        <v>77384</v>
      </c>
      <c r="F306" s="357">
        <v>76730</v>
      </c>
      <c r="G306" s="357">
        <v>75988</v>
      </c>
      <c r="H306" s="357">
        <v>77026</v>
      </c>
      <c r="I306" s="357">
        <v>76495</v>
      </c>
      <c r="J306" s="357">
        <v>76655.548800000004</v>
      </c>
      <c r="K306" s="357">
        <v>76655.548800000004</v>
      </c>
      <c r="L306" s="357">
        <v>76656</v>
      </c>
      <c r="M306" s="357">
        <v>76656</v>
      </c>
      <c r="N306" s="357">
        <v>72155</v>
      </c>
      <c r="O306" s="357">
        <v>297943</v>
      </c>
      <c r="P306" s="357">
        <v>297943</v>
      </c>
      <c r="Q306" s="357">
        <v>297943</v>
      </c>
      <c r="R306" s="357">
        <v>297943.1776</v>
      </c>
      <c r="S306" s="357">
        <v>297943</v>
      </c>
      <c r="T306" s="357">
        <v>297943</v>
      </c>
      <c r="U306" s="357">
        <v>297943</v>
      </c>
      <c r="X306" s="500"/>
    </row>
    <row r="307" spans="1:24" ht="18">
      <c r="A307" s="349">
        <v>278</v>
      </c>
      <c r="B307" s="353" t="s">
        <v>267</v>
      </c>
      <c r="C307" s="349" t="s">
        <v>366</v>
      </c>
      <c r="D307" s="357">
        <v>8468</v>
      </c>
      <c r="E307" s="357">
        <v>8443</v>
      </c>
      <c r="F307" s="357">
        <v>8418</v>
      </c>
      <c r="G307" s="357">
        <v>8307</v>
      </c>
      <c r="H307" s="357">
        <v>8406</v>
      </c>
      <c r="I307" s="357">
        <v>8418</v>
      </c>
      <c r="J307" s="357">
        <v>8381.7759999999998</v>
      </c>
      <c r="K307" s="357">
        <v>8381.7759999999998</v>
      </c>
      <c r="L307" s="357">
        <v>8382</v>
      </c>
      <c r="M307" s="357">
        <v>8382</v>
      </c>
      <c r="N307" s="357">
        <v>7949</v>
      </c>
      <c r="O307" s="357">
        <v>33834</v>
      </c>
      <c r="P307" s="357">
        <v>33834</v>
      </c>
      <c r="Q307" s="357">
        <v>33834</v>
      </c>
      <c r="R307" s="357">
        <v>33834.180800000002</v>
      </c>
      <c r="S307" s="357">
        <v>33834</v>
      </c>
      <c r="T307" s="357">
        <v>33834</v>
      </c>
      <c r="U307" s="357">
        <v>33834</v>
      </c>
      <c r="X307" s="500"/>
    </row>
    <row r="308" spans="1:24">
      <c r="A308" s="349">
        <v>279</v>
      </c>
      <c r="B308" s="353" t="s">
        <v>267</v>
      </c>
      <c r="C308" s="349" t="s">
        <v>365</v>
      </c>
      <c r="D308" s="357">
        <v>91168</v>
      </c>
      <c r="E308" s="357">
        <v>91007</v>
      </c>
      <c r="F308" s="357">
        <v>90537</v>
      </c>
      <c r="G308" s="357">
        <v>90067</v>
      </c>
      <c r="H308" s="357">
        <v>90612</v>
      </c>
      <c r="I308" s="357">
        <v>90822</v>
      </c>
      <c r="J308" s="357">
        <v>90809.494399999996</v>
      </c>
      <c r="K308" s="357">
        <v>90809.494399999996</v>
      </c>
      <c r="L308" s="357">
        <v>90809</v>
      </c>
      <c r="M308" s="357">
        <v>90809</v>
      </c>
      <c r="N308" s="357">
        <v>87274</v>
      </c>
      <c r="O308" s="357">
        <v>349047</v>
      </c>
      <c r="P308" s="357">
        <v>349047</v>
      </c>
      <c r="Q308" s="357">
        <v>349047</v>
      </c>
      <c r="R308" s="357">
        <v>349046.87679999997</v>
      </c>
      <c r="S308" s="357">
        <v>349047</v>
      </c>
      <c r="T308" s="357">
        <v>349047</v>
      </c>
      <c r="U308" s="357">
        <v>349047</v>
      </c>
      <c r="X308" s="500"/>
    </row>
    <row r="309" spans="1:24">
      <c r="A309" s="349">
        <v>280</v>
      </c>
      <c r="B309" s="353" t="s">
        <v>268</v>
      </c>
      <c r="C309" s="349" t="s">
        <v>365</v>
      </c>
      <c r="D309" s="357">
        <v>80042</v>
      </c>
      <c r="E309" s="357">
        <v>80512</v>
      </c>
      <c r="F309" s="357">
        <v>79733</v>
      </c>
      <c r="G309" s="357">
        <v>79165</v>
      </c>
      <c r="H309" s="357">
        <v>79770</v>
      </c>
      <c r="I309" s="357">
        <v>79660</v>
      </c>
      <c r="J309" s="357">
        <v>79671.676800000001</v>
      </c>
      <c r="K309" s="357">
        <v>79671.676800000001</v>
      </c>
      <c r="L309" s="357">
        <v>79672</v>
      </c>
      <c r="M309" s="357">
        <v>79672</v>
      </c>
      <c r="N309" s="357">
        <v>75160</v>
      </c>
      <c r="O309" s="357">
        <v>307882</v>
      </c>
      <c r="P309" s="357">
        <v>307882</v>
      </c>
      <c r="Q309" s="357">
        <v>307882</v>
      </c>
      <c r="R309" s="357">
        <v>307882.1936</v>
      </c>
      <c r="S309" s="357">
        <v>307882</v>
      </c>
      <c r="T309" s="357">
        <v>307882</v>
      </c>
      <c r="U309" s="357">
        <v>307882</v>
      </c>
      <c r="X309" s="500"/>
    </row>
    <row r="310" spans="1:24" ht="18">
      <c r="A310" s="349">
        <v>281</v>
      </c>
      <c r="B310" s="353" t="s">
        <v>269</v>
      </c>
      <c r="C310" s="349" t="s">
        <v>366</v>
      </c>
      <c r="D310" s="357">
        <v>33748</v>
      </c>
      <c r="E310" s="357">
        <v>33871</v>
      </c>
      <c r="F310" s="357">
        <v>33599</v>
      </c>
      <c r="G310" s="357">
        <v>33266</v>
      </c>
      <c r="H310" s="357">
        <v>33674</v>
      </c>
      <c r="I310" s="357">
        <v>33636</v>
      </c>
      <c r="J310" s="357">
        <v>33624.3632</v>
      </c>
      <c r="K310" s="357">
        <v>33624.3632</v>
      </c>
      <c r="L310" s="357">
        <v>33624</v>
      </c>
      <c r="M310" s="357">
        <v>33624</v>
      </c>
      <c r="N310" s="357">
        <v>32475</v>
      </c>
      <c r="O310" s="357">
        <v>127153</v>
      </c>
      <c r="P310" s="357">
        <v>127153</v>
      </c>
      <c r="Q310" s="357">
        <v>127153</v>
      </c>
      <c r="R310" s="357">
        <v>127152.74400000001</v>
      </c>
      <c r="S310" s="357">
        <v>127153</v>
      </c>
      <c r="T310" s="357">
        <v>127153</v>
      </c>
      <c r="U310" s="357">
        <v>127153</v>
      </c>
      <c r="X310" s="500"/>
    </row>
    <row r="311" spans="1:24">
      <c r="A311" s="349">
        <v>282</v>
      </c>
      <c r="B311" s="353" t="s">
        <v>269</v>
      </c>
      <c r="C311" s="349" t="s">
        <v>365</v>
      </c>
      <c r="D311" s="357">
        <v>472899</v>
      </c>
      <c r="E311" s="357">
        <v>473133</v>
      </c>
      <c r="F311" s="357">
        <v>467250</v>
      </c>
      <c r="G311" s="357">
        <v>463566</v>
      </c>
      <c r="H311" s="357">
        <v>470896</v>
      </c>
      <c r="I311" s="357">
        <v>467473</v>
      </c>
      <c r="J311" s="357">
        <v>468806.82880000002</v>
      </c>
      <c r="K311" s="357">
        <v>468806.82880000002</v>
      </c>
      <c r="L311" s="357">
        <v>468807</v>
      </c>
      <c r="M311" s="357">
        <v>468807</v>
      </c>
      <c r="N311" s="357">
        <v>446433</v>
      </c>
      <c r="O311" s="357">
        <v>1253383</v>
      </c>
      <c r="P311" s="357">
        <v>1253383</v>
      </c>
      <c r="Q311" s="357">
        <v>1253383</v>
      </c>
      <c r="R311" s="357">
        <v>1253382.5888</v>
      </c>
      <c r="S311" s="357">
        <v>1253383</v>
      </c>
      <c r="T311" s="357">
        <v>1253383</v>
      </c>
      <c r="U311" s="357">
        <v>1253383</v>
      </c>
      <c r="X311" s="500"/>
    </row>
    <row r="312" spans="1:24" ht="18">
      <c r="A312" s="349">
        <v>283</v>
      </c>
      <c r="B312" s="353" t="s">
        <v>270</v>
      </c>
      <c r="C312" s="349" t="s">
        <v>366</v>
      </c>
      <c r="D312" s="357">
        <v>33711</v>
      </c>
      <c r="E312" s="357">
        <v>33896</v>
      </c>
      <c r="F312" s="357">
        <v>33537</v>
      </c>
      <c r="G312" s="357">
        <v>33278</v>
      </c>
      <c r="H312" s="357">
        <v>33599</v>
      </c>
      <c r="I312" s="357">
        <v>33686</v>
      </c>
      <c r="J312" s="357">
        <v>33475.742400000003</v>
      </c>
      <c r="K312" s="357">
        <v>33475.742400000003</v>
      </c>
      <c r="L312" s="357">
        <v>33476</v>
      </c>
      <c r="M312" s="357">
        <v>33476</v>
      </c>
      <c r="N312" s="357">
        <v>31572</v>
      </c>
      <c r="O312" s="357">
        <v>129477</v>
      </c>
      <c r="P312" s="357">
        <v>129477</v>
      </c>
      <c r="Q312" s="357">
        <v>129477</v>
      </c>
      <c r="R312" s="357">
        <v>129477.1296</v>
      </c>
      <c r="S312" s="357">
        <v>129477</v>
      </c>
      <c r="T312" s="357">
        <v>129477</v>
      </c>
      <c r="U312" s="357">
        <v>129477</v>
      </c>
      <c r="X312" s="500"/>
    </row>
    <row r="313" spans="1:24">
      <c r="A313" s="349">
        <v>284</v>
      </c>
      <c r="B313" s="353" t="s">
        <v>270</v>
      </c>
      <c r="C313" s="349" t="s">
        <v>365</v>
      </c>
      <c r="D313" s="357">
        <v>527488</v>
      </c>
      <c r="E313" s="357">
        <v>525449</v>
      </c>
      <c r="F313" s="357">
        <v>522742</v>
      </c>
      <c r="G313" s="357">
        <v>519354</v>
      </c>
      <c r="H313" s="357">
        <v>523298</v>
      </c>
      <c r="I313" s="357">
        <v>524262</v>
      </c>
      <c r="J313" s="357">
        <v>521220.79519999999</v>
      </c>
      <c r="K313" s="357">
        <v>521220.79519999999</v>
      </c>
      <c r="L313" s="357">
        <v>521221</v>
      </c>
      <c r="M313" s="357">
        <v>521221</v>
      </c>
      <c r="N313" s="357">
        <v>505299</v>
      </c>
      <c r="O313" s="357">
        <v>1396915</v>
      </c>
      <c r="P313" s="357">
        <v>1396915</v>
      </c>
      <c r="Q313" s="357">
        <v>1396915</v>
      </c>
      <c r="R313" s="357">
        <v>1396915.3119999999</v>
      </c>
      <c r="S313" s="357">
        <v>1396915</v>
      </c>
      <c r="T313" s="357">
        <v>1396915</v>
      </c>
      <c r="U313" s="357">
        <v>1396915</v>
      </c>
      <c r="X313" s="500"/>
    </row>
    <row r="314" spans="1:24" ht="18">
      <c r="A314" s="349">
        <v>285</v>
      </c>
      <c r="B314" s="353" t="s">
        <v>271</v>
      </c>
      <c r="C314" s="349" t="s">
        <v>366</v>
      </c>
      <c r="D314" s="357">
        <v>60362</v>
      </c>
      <c r="E314" s="357">
        <v>60684</v>
      </c>
      <c r="F314" s="357">
        <v>60017</v>
      </c>
      <c r="G314" s="357">
        <v>59361</v>
      </c>
      <c r="H314" s="357">
        <v>60140</v>
      </c>
      <c r="I314" s="357">
        <v>59806</v>
      </c>
      <c r="J314" s="357">
        <v>59905.110399999998</v>
      </c>
      <c r="K314" s="357">
        <v>59905.110399999998</v>
      </c>
      <c r="L314" s="357">
        <v>59905</v>
      </c>
      <c r="M314" s="357">
        <v>59905</v>
      </c>
      <c r="N314" s="357">
        <v>56987</v>
      </c>
      <c r="O314" s="357">
        <v>242611</v>
      </c>
      <c r="P314" s="357">
        <v>242611</v>
      </c>
      <c r="Q314" s="357">
        <v>242611</v>
      </c>
      <c r="R314" s="357">
        <v>242611.43520000001</v>
      </c>
      <c r="S314" s="357">
        <v>242611</v>
      </c>
      <c r="T314" s="357">
        <v>242611</v>
      </c>
      <c r="U314" s="357">
        <v>242611</v>
      </c>
      <c r="X314" s="500"/>
    </row>
    <row r="315" spans="1:24">
      <c r="A315" s="349">
        <v>286</v>
      </c>
      <c r="B315" s="353" t="s">
        <v>271</v>
      </c>
      <c r="C315" s="349" t="s">
        <v>365</v>
      </c>
      <c r="D315" s="357">
        <v>1035606</v>
      </c>
      <c r="E315" s="357">
        <v>1037275</v>
      </c>
      <c r="F315" s="357">
        <v>1032516</v>
      </c>
      <c r="G315" s="357">
        <v>1026174</v>
      </c>
      <c r="H315" s="357">
        <v>1029598</v>
      </c>
      <c r="I315" s="357">
        <v>1027843</v>
      </c>
      <c r="J315" s="357">
        <v>1031352.9488</v>
      </c>
      <c r="K315" s="357">
        <v>1031352.9488</v>
      </c>
      <c r="L315" s="357">
        <v>1031353</v>
      </c>
      <c r="M315" s="357">
        <v>1031353</v>
      </c>
      <c r="N315" s="357">
        <v>976665</v>
      </c>
      <c r="O315" s="357">
        <v>2504899</v>
      </c>
      <c r="P315" s="357">
        <v>2504899</v>
      </c>
      <c r="Q315" s="357">
        <v>2504899</v>
      </c>
      <c r="R315" s="357">
        <v>2504898.6751999999</v>
      </c>
      <c r="S315" s="357">
        <v>2504899</v>
      </c>
      <c r="T315" s="357">
        <v>2504899</v>
      </c>
      <c r="U315" s="357">
        <v>2504899</v>
      </c>
      <c r="X315" s="500"/>
    </row>
    <row r="316" spans="1:24" ht="18">
      <c r="A316" s="349">
        <v>287</v>
      </c>
      <c r="B316" s="353" t="s">
        <v>272</v>
      </c>
      <c r="C316" s="349" t="s">
        <v>366</v>
      </c>
      <c r="D316" s="357">
        <v>60473</v>
      </c>
      <c r="E316" s="357">
        <v>60054</v>
      </c>
      <c r="F316" s="357">
        <v>59905</v>
      </c>
      <c r="G316" s="357">
        <v>59102</v>
      </c>
      <c r="H316" s="357">
        <v>59682</v>
      </c>
      <c r="I316" s="357">
        <v>59843</v>
      </c>
      <c r="J316" s="357">
        <v>59571.806400000001</v>
      </c>
      <c r="K316" s="357">
        <v>59571.806400000001</v>
      </c>
      <c r="L316" s="357">
        <v>59572</v>
      </c>
      <c r="M316" s="357">
        <v>59572</v>
      </c>
      <c r="N316" s="357">
        <v>57322</v>
      </c>
      <c r="O316" s="357">
        <v>219088</v>
      </c>
      <c r="P316" s="357">
        <v>219088</v>
      </c>
      <c r="Q316" s="357">
        <v>219088</v>
      </c>
      <c r="R316" s="357">
        <v>219087.8224</v>
      </c>
      <c r="S316" s="357">
        <v>219088</v>
      </c>
      <c r="T316" s="357">
        <v>219088</v>
      </c>
      <c r="U316" s="357">
        <v>219088</v>
      </c>
      <c r="X316" s="500"/>
    </row>
    <row r="317" spans="1:24">
      <c r="A317" s="349">
        <v>288</v>
      </c>
      <c r="B317" s="353" t="s">
        <v>272</v>
      </c>
      <c r="C317" s="349" t="s">
        <v>365</v>
      </c>
      <c r="D317" s="357">
        <v>1002365</v>
      </c>
      <c r="E317" s="357">
        <v>1002365</v>
      </c>
      <c r="F317" s="357">
        <v>997767</v>
      </c>
      <c r="G317" s="357">
        <v>984700</v>
      </c>
      <c r="H317" s="357">
        <v>993576</v>
      </c>
      <c r="I317" s="357">
        <v>999461</v>
      </c>
      <c r="J317" s="357">
        <v>992598.98239999998</v>
      </c>
      <c r="K317" s="357">
        <v>992598.98239999998</v>
      </c>
      <c r="L317" s="357">
        <v>992599</v>
      </c>
      <c r="M317" s="357">
        <v>992599</v>
      </c>
      <c r="N317" s="357">
        <v>955020</v>
      </c>
      <c r="O317" s="357">
        <v>2581121</v>
      </c>
      <c r="P317" s="357">
        <v>2581121</v>
      </c>
      <c r="Q317" s="357">
        <v>2581121</v>
      </c>
      <c r="R317" s="357">
        <v>2581121.4752000002</v>
      </c>
      <c r="S317" s="357">
        <v>2581121</v>
      </c>
      <c r="T317" s="357">
        <v>2581121</v>
      </c>
      <c r="U317" s="357">
        <v>2581121</v>
      </c>
      <c r="X317" s="500"/>
    </row>
    <row r="318" spans="1:24" ht="18">
      <c r="A318" s="349">
        <v>289</v>
      </c>
      <c r="B318" s="353" t="s">
        <v>273</v>
      </c>
      <c r="C318" s="349" t="s">
        <v>366</v>
      </c>
      <c r="D318" s="357">
        <v>12189</v>
      </c>
      <c r="E318" s="357">
        <v>12189</v>
      </c>
      <c r="F318" s="357">
        <v>12090</v>
      </c>
      <c r="G318" s="357">
        <v>11954</v>
      </c>
      <c r="H318" s="357">
        <v>12127</v>
      </c>
      <c r="I318" s="357">
        <v>12127</v>
      </c>
      <c r="J318" s="357">
        <v>12114.7808</v>
      </c>
      <c r="K318" s="357">
        <v>12114.7808</v>
      </c>
      <c r="L318" s="357">
        <v>12115</v>
      </c>
      <c r="M318" s="357">
        <v>12115</v>
      </c>
      <c r="N318" s="357">
        <v>11410</v>
      </c>
      <c r="O318" s="357">
        <v>44169</v>
      </c>
      <c r="P318" s="357">
        <v>44169</v>
      </c>
      <c r="Q318" s="357">
        <v>44169</v>
      </c>
      <c r="R318" s="357">
        <v>44168.790399999998</v>
      </c>
      <c r="S318" s="357">
        <v>44169</v>
      </c>
      <c r="T318" s="357">
        <v>44169</v>
      </c>
      <c r="U318" s="357">
        <v>44169</v>
      </c>
      <c r="X318" s="500"/>
    </row>
    <row r="319" spans="1:24">
      <c r="A319" s="349">
        <v>290</v>
      </c>
      <c r="B319" s="353" t="s">
        <v>273</v>
      </c>
      <c r="C319" s="349" t="s">
        <v>365</v>
      </c>
      <c r="D319" s="357">
        <v>113332</v>
      </c>
      <c r="E319" s="357">
        <v>113382</v>
      </c>
      <c r="F319" s="357">
        <v>112640</v>
      </c>
      <c r="G319" s="357">
        <v>111577</v>
      </c>
      <c r="H319" s="357">
        <v>112431</v>
      </c>
      <c r="I319" s="357">
        <v>112257</v>
      </c>
      <c r="J319" s="357">
        <v>112826.136</v>
      </c>
      <c r="K319" s="357">
        <v>112826.136</v>
      </c>
      <c r="L319" s="357">
        <v>112826</v>
      </c>
      <c r="M319" s="357">
        <v>112826</v>
      </c>
      <c r="N319" s="357">
        <v>108363</v>
      </c>
      <c r="O319" s="357">
        <v>440066</v>
      </c>
      <c r="P319" s="357">
        <v>440066</v>
      </c>
      <c r="Q319" s="357">
        <v>440066</v>
      </c>
      <c r="R319" s="357">
        <v>440066.1888</v>
      </c>
      <c r="S319" s="357">
        <v>440066</v>
      </c>
      <c r="T319" s="357">
        <v>440066</v>
      </c>
      <c r="U319" s="357">
        <v>440066</v>
      </c>
      <c r="X319" s="500"/>
    </row>
    <row r="320" spans="1:24" ht="18">
      <c r="A320" s="349">
        <v>291</v>
      </c>
      <c r="B320" s="353" t="s">
        <v>274</v>
      </c>
      <c r="C320" s="349" t="s">
        <v>366</v>
      </c>
      <c r="D320" s="357">
        <v>16985</v>
      </c>
      <c r="E320" s="357">
        <v>16997</v>
      </c>
      <c r="F320" s="357">
        <v>16911</v>
      </c>
      <c r="G320" s="357">
        <v>16750</v>
      </c>
      <c r="H320" s="357">
        <v>16899</v>
      </c>
      <c r="I320" s="357">
        <v>16923</v>
      </c>
      <c r="J320" s="357">
        <v>16836.7696</v>
      </c>
      <c r="K320" s="357">
        <v>16836.7696</v>
      </c>
      <c r="L320" s="357">
        <v>16837</v>
      </c>
      <c r="M320" s="357">
        <v>16837</v>
      </c>
      <c r="N320" s="357">
        <v>15959</v>
      </c>
      <c r="O320" s="357">
        <v>67112</v>
      </c>
      <c r="P320" s="357">
        <v>67112</v>
      </c>
      <c r="Q320" s="357">
        <v>67112</v>
      </c>
      <c r="R320" s="357">
        <v>67112.126399999994</v>
      </c>
      <c r="S320" s="357">
        <v>67112</v>
      </c>
      <c r="T320" s="357">
        <v>67112</v>
      </c>
      <c r="U320" s="357">
        <v>67112</v>
      </c>
      <c r="X320" s="500"/>
    </row>
    <row r="321" spans="1:24">
      <c r="A321" s="349">
        <v>292</v>
      </c>
      <c r="B321" s="353" t="s">
        <v>274</v>
      </c>
      <c r="C321" s="349" t="s">
        <v>365</v>
      </c>
      <c r="D321" s="357">
        <v>254813</v>
      </c>
      <c r="E321" s="357">
        <v>254442</v>
      </c>
      <c r="F321" s="357">
        <v>252365</v>
      </c>
      <c r="G321" s="357">
        <v>251228</v>
      </c>
      <c r="H321" s="357">
        <v>253849</v>
      </c>
      <c r="I321" s="357">
        <v>253910</v>
      </c>
      <c r="J321" s="357">
        <v>253700.07680000001</v>
      </c>
      <c r="K321" s="357">
        <v>253700.07680000001</v>
      </c>
      <c r="L321" s="357">
        <v>253700</v>
      </c>
      <c r="M321" s="357">
        <v>253700</v>
      </c>
      <c r="N321" s="357">
        <v>240028</v>
      </c>
      <c r="O321" s="357">
        <v>1011834</v>
      </c>
      <c r="P321" s="357">
        <v>1011834</v>
      </c>
      <c r="Q321" s="357">
        <v>1011834</v>
      </c>
      <c r="R321" s="357">
        <v>1011834.448</v>
      </c>
      <c r="S321" s="357">
        <v>1011834</v>
      </c>
      <c r="T321" s="357">
        <v>1011834</v>
      </c>
      <c r="U321" s="357">
        <v>1011834</v>
      </c>
      <c r="X321" s="500"/>
    </row>
    <row r="322" spans="1:24" ht="18">
      <c r="A322" s="349">
        <v>293</v>
      </c>
      <c r="B322" s="353" t="s">
        <v>275</v>
      </c>
      <c r="C322" s="349" t="s">
        <v>366</v>
      </c>
      <c r="D322" s="357">
        <v>59114</v>
      </c>
      <c r="E322" s="357">
        <v>59200</v>
      </c>
      <c r="F322" s="357">
        <v>58867</v>
      </c>
      <c r="G322" s="357">
        <v>58113</v>
      </c>
      <c r="H322" s="357">
        <v>58656</v>
      </c>
      <c r="I322" s="357">
        <v>58941</v>
      </c>
      <c r="J322" s="357">
        <v>58829.7952</v>
      </c>
      <c r="K322" s="357">
        <v>58829.7952</v>
      </c>
      <c r="L322" s="357">
        <v>58830</v>
      </c>
      <c r="M322" s="357">
        <v>58830</v>
      </c>
      <c r="N322" s="357">
        <v>56666</v>
      </c>
      <c r="O322" s="357">
        <v>214613</v>
      </c>
      <c r="P322" s="357">
        <v>214613</v>
      </c>
      <c r="Q322" s="357">
        <v>214613</v>
      </c>
      <c r="R322" s="357">
        <v>214612.8064</v>
      </c>
      <c r="S322" s="357">
        <v>214613</v>
      </c>
      <c r="T322" s="357">
        <v>214613</v>
      </c>
      <c r="U322" s="357">
        <v>214613</v>
      </c>
      <c r="X322" s="500"/>
    </row>
    <row r="323" spans="1:24">
      <c r="A323" s="349">
        <v>294</v>
      </c>
      <c r="B323" s="353" t="s">
        <v>275</v>
      </c>
      <c r="C323" s="349" t="s">
        <v>365</v>
      </c>
      <c r="D323" s="357">
        <v>712914</v>
      </c>
      <c r="E323" s="357">
        <v>711147</v>
      </c>
      <c r="F323" s="357">
        <v>702926</v>
      </c>
      <c r="G323" s="357">
        <v>701381</v>
      </c>
      <c r="H323" s="357">
        <v>703903</v>
      </c>
      <c r="I323" s="357">
        <v>702691</v>
      </c>
      <c r="J323" s="357">
        <v>707091.86880000005</v>
      </c>
      <c r="K323" s="357">
        <v>707091.86880000005</v>
      </c>
      <c r="L323" s="357">
        <v>707092</v>
      </c>
      <c r="M323" s="357">
        <v>707092</v>
      </c>
      <c r="N323" s="357">
        <v>681565</v>
      </c>
      <c r="O323" s="357">
        <v>1827562</v>
      </c>
      <c r="P323" s="357">
        <v>1827562</v>
      </c>
      <c r="Q323" s="357">
        <v>1827562</v>
      </c>
      <c r="R323" s="357">
        <v>1827561.5648000001</v>
      </c>
      <c r="S323" s="357">
        <v>1827562</v>
      </c>
      <c r="T323" s="357">
        <v>1827562</v>
      </c>
      <c r="U323" s="357">
        <v>1827562</v>
      </c>
      <c r="X323" s="500"/>
    </row>
    <row r="324" spans="1:24" ht="18">
      <c r="A324" s="349">
        <v>295</v>
      </c>
      <c r="B324" s="353" t="s">
        <v>276</v>
      </c>
      <c r="C324" s="349" t="s">
        <v>366</v>
      </c>
      <c r="D324" s="357">
        <v>64244</v>
      </c>
      <c r="E324" s="357">
        <v>64207</v>
      </c>
      <c r="F324" s="357">
        <v>63910</v>
      </c>
      <c r="G324" s="357">
        <v>63205</v>
      </c>
      <c r="H324" s="357">
        <v>63589</v>
      </c>
      <c r="I324" s="357">
        <v>63614</v>
      </c>
      <c r="J324" s="357">
        <v>63922.243199999997</v>
      </c>
      <c r="K324" s="357">
        <v>63922.243199999997</v>
      </c>
      <c r="L324" s="357">
        <v>63922</v>
      </c>
      <c r="M324" s="357">
        <v>63922</v>
      </c>
      <c r="N324" s="357">
        <v>61648</v>
      </c>
      <c r="O324" s="357">
        <v>254936</v>
      </c>
      <c r="P324" s="357">
        <v>254936</v>
      </c>
      <c r="Q324" s="357">
        <v>254936</v>
      </c>
      <c r="R324" s="357">
        <v>254936.0336</v>
      </c>
      <c r="S324" s="357">
        <v>254936</v>
      </c>
      <c r="T324" s="357">
        <v>254936</v>
      </c>
      <c r="U324" s="357">
        <v>254936</v>
      </c>
      <c r="X324" s="500"/>
    </row>
    <row r="325" spans="1:24">
      <c r="A325" s="349">
        <v>296</v>
      </c>
      <c r="B325" s="353" t="s">
        <v>276</v>
      </c>
      <c r="C325" s="349" t="s">
        <v>365</v>
      </c>
      <c r="D325" s="357">
        <v>770187</v>
      </c>
      <c r="E325" s="357">
        <v>774649</v>
      </c>
      <c r="F325" s="357">
        <v>765663</v>
      </c>
      <c r="G325" s="357">
        <v>757034</v>
      </c>
      <c r="H325" s="357">
        <v>763981</v>
      </c>
      <c r="I325" s="357">
        <v>764909</v>
      </c>
      <c r="J325" s="357">
        <v>763363.4192</v>
      </c>
      <c r="K325" s="357">
        <v>763363.4192</v>
      </c>
      <c r="L325" s="357">
        <v>763363</v>
      </c>
      <c r="M325" s="357">
        <v>763363</v>
      </c>
      <c r="N325" s="357">
        <v>735030</v>
      </c>
      <c r="O325" s="357">
        <v>1984210</v>
      </c>
      <c r="P325" s="357">
        <v>1984210</v>
      </c>
      <c r="Q325" s="357">
        <v>1984210</v>
      </c>
      <c r="R325" s="357">
        <v>1984210.0736</v>
      </c>
      <c r="S325" s="357">
        <v>1984210</v>
      </c>
      <c r="T325" s="357">
        <v>1984210</v>
      </c>
      <c r="U325" s="357">
        <v>1984210</v>
      </c>
      <c r="X325" s="500"/>
    </row>
    <row r="326" spans="1:24" ht="18">
      <c r="A326" s="349">
        <v>297</v>
      </c>
      <c r="B326" s="353" t="s">
        <v>277</v>
      </c>
      <c r="C326" s="349" t="s">
        <v>366</v>
      </c>
      <c r="D326" s="357">
        <v>69077</v>
      </c>
      <c r="E326" s="357">
        <v>69065</v>
      </c>
      <c r="F326" s="357">
        <v>68311</v>
      </c>
      <c r="G326" s="357">
        <v>67730</v>
      </c>
      <c r="H326" s="357">
        <v>68546</v>
      </c>
      <c r="I326" s="357">
        <v>68250</v>
      </c>
      <c r="J326" s="357">
        <v>68669.366399999999</v>
      </c>
      <c r="K326" s="357">
        <v>68669.366399999999</v>
      </c>
      <c r="L326" s="357">
        <v>68669</v>
      </c>
      <c r="M326" s="357">
        <v>68669</v>
      </c>
      <c r="N326" s="357">
        <v>66172</v>
      </c>
      <c r="O326" s="357">
        <v>273220</v>
      </c>
      <c r="P326" s="357">
        <v>273220</v>
      </c>
      <c r="Q326" s="357">
        <v>273220</v>
      </c>
      <c r="R326" s="357">
        <v>273219.6704</v>
      </c>
      <c r="S326" s="357">
        <v>273220</v>
      </c>
      <c r="T326" s="357">
        <v>273220</v>
      </c>
      <c r="U326" s="357">
        <v>273220</v>
      </c>
      <c r="X326" s="500"/>
    </row>
    <row r="327" spans="1:24">
      <c r="A327" s="349">
        <v>298</v>
      </c>
      <c r="B327" s="353" t="s">
        <v>277</v>
      </c>
      <c r="C327" s="349" t="s">
        <v>365</v>
      </c>
      <c r="D327" s="357">
        <v>853653</v>
      </c>
      <c r="E327" s="357">
        <v>850093</v>
      </c>
      <c r="F327" s="357">
        <v>847076</v>
      </c>
      <c r="G327" s="357">
        <v>839808</v>
      </c>
      <c r="H327" s="357">
        <v>844679</v>
      </c>
      <c r="I327" s="357">
        <v>843986</v>
      </c>
      <c r="J327" s="357">
        <v>848585.42720000003</v>
      </c>
      <c r="K327" s="357">
        <v>848585.42720000003</v>
      </c>
      <c r="L327" s="357">
        <v>848585</v>
      </c>
      <c r="M327" s="357">
        <v>848585</v>
      </c>
      <c r="N327" s="357">
        <v>795541</v>
      </c>
      <c r="O327" s="357">
        <v>2193074</v>
      </c>
      <c r="P327" s="357">
        <v>2193074</v>
      </c>
      <c r="Q327" s="357">
        <v>2193074</v>
      </c>
      <c r="R327" s="357">
        <v>2193073.6592000001</v>
      </c>
      <c r="S327" s="357">
        <v>2193074</v>
      </c>
      <c r="T327" s="357">
        <v>2193074</v>
      </c>
      <c r="U327" s="357">
        <v>2193074</v>
      </c>
      <c r="X327" s="500"/>
    </row>
    <row r="328" spans="1:24" ht="18">
      <c r="A328" s="349">
        <v>299</v>
      </c>
      <c r="B328" s="353" t="s">
        <v>278</v>
      </c>
      <c r="C328" s="349" t="s">
        <v>366</v>
      </c>
      <c r="D328" s="357">
        <v>17060</v>
      </c>
      <c r="E328" s="357">
        <v>16997</v>
      </c>
      <c r="F328" s="357">
        <v>16948</v>
      </c>
      <c r="G328" s="357">
        <v>16849</v>
      </c>
      <c r="H328" s="357">
        <v>16874</v>
      </c>
      <c r="I328" s="357">
        <v>16948</v>
      </c>
      <c r="J328" s="357">
        <v>16972.2768</v>
      </c>
      <c r="K328" s="357">
        <v>16972.2768</v>
      </c>
      <c r="L328" s="357">
        <v>16972</v>
      </c>
      <c r="M328" s="357">
        <v>16972</v>
      </c>
      <c r="N328" s="357">
        <v>16306</v>
      </c>
      <c r="O328" s="357">
        <v>68237</v>
      </c>
      <c r="P328" s="357">
        <v>68237</v>
      </c>
      <c r="Q328" s="357">
        <v>68237</v>
      </c>
      <c r="R328" s="357">
        <v>68236.617599999998</v>
      </c>
      <c r="S328" s="357">
        <v>68237</v>
      </c>
      <c r="T328" s="357">
        <v>68237</v>
      </c>
      <c r="U328" s="357">
        <v>68237</v>
      </c>
      <c r="X328" s="500"/>
    </row>
    <row r="329" spans="1:24">
      <c r="A329" s="349">
        <v>300</v>
      </c>
      <c r="B329" s="353" t="s">
        <v>278</v>
      </c>
      <c r="C329" s="349" t="s">
        <v>365</v>
      </c>
      <c r="D329" s="357">
        <v>393363</v>
      </c>
      <c r="E329" s="357">
        <v>391657</v>
      </c>
      <c r="F329" s="357">
        <v>390459</v>
      </c>
      <c r="G329" s="357">
        <v>385254</v>
      </c>
      <c r="H329" s="357">
        <v>389766</v>
      </c>
      <c r="I329" s="357">
        <v>389729</v>
      </c>
      <c r="J329" s="357">
        <v>389197.44160000002</v>
      </c>
      <c r="K329" s="357">
        <v>389197.44160000002</v>
      </c>
      <c r="L329" s="357">
        <v>389197</v>
      </c>
      <c r="M329" s="357">
        <v>389197</v>
      </c>
      <c r="N329" s="357">
        <v>376650</v>
      </c>
      <c r="O329" s="357">
        <v>1040390</v>
      </c>
      <c r="P329" s="357">
        <v>1040390</v>
      </c>
      <c r="Q329" s="357">
        <v>1040390</v>
      </c>
      <c r="R329" s="357">
        <v>1040390.4048</v>
      </c>
      <c r="S329" s="357">
        <v>1040390</v>
      </c>
      <c r="T329" s="357">
        <v>1040390</v>
      </c>
      <c r="U329" s="357">
        <v>1040390</v>
      </c>
      <c r="X329" s="500"/>
    </row>
    <row r="330" spans="1:24" ht="18">
      <c r="A330" s="349">
        <v>301</v>
      </c>
      <c r="B330" s="353" t="s">
        <v>279</v>
      </c>
      <c r="C330" s="349" t="s">
        <v>366</v>
      </c>
      <c r="D330" s="357">
        <v>19865</v>
      </c>
      <c r="E330" s="357">
        <v>19927</v>
      </c>
      <c r="F330" s="357">
        <v>19755</v>
      </c>
      <c r="G330" s="357">
        <v>19667</v>
      </c>
      <c r="H330" s="357">
        <v>19816</v>
      </c>
      <c r="I330" s="357">
        <v>19779</v>
      </c>
      <c r="J330" s="357">
        <v>19766.5664</v>
      </c>
      <c r="K330" s="357">
        <v>19766.5664</v>
      </c>
      <c r="L330" s="357">
        <v>19767</v>
      </c>
      <c r="M330" s="357">
        <v>19767</v>
      </c>
      <c r="N330" s="357">
        <v>18740</v>
      </c>
      <c r="O330" s="357">
        <v>77100</v>
      </c>
      <c r="P330" s="357">
        <v>77100</v>
      </c>
      <c r="Q330" s="357">
        <v>77100</v>
      </c>
      <c r="R330" s="357">
        <v>77100.318400000004</v>
      </c>
      <c r="S330" s="357">
        <v>77100</v>
      </c>
      <c r="T330" s="357">
        <v>77100</v>
      </c>
      <c r="U330" s="357">
        <v>77100</v>
      </c>
      <c r="X330" s="500"/>
    </row>
    <row r="331" spans="1:24">
      <c r="A331" s="349">
        <v>302</v>
      </c>
      <c r="B331" s="353" t="s">
        <v>279</v>
      </c>
      <c r="C331" s="349" t="s">
        <v>365</v>
      </c>
      <c r="D331" s="357">
        <v>230608</v>
      </c>
      <c r="E331" s="357">
        <v>230708</v>
      </c>
      <c r="F331" s="357">
        <v>229446</v>
      </c>
      <c r="G331" s="357">
        <v>227629</v>
      </c>
      <c r="H331" s="357">
        <v>228025</v>
      </c>
      <c r="I331" s="357">
        <v>228470</v>
      </c>
      <c r="J331" s="357">
        <v>228704.46239999999</v>
      </c>
      <c r="K331" s="357">
        <v>228704.46239999999</v>
      </c>
      <c r="L331" s="357">
        <v>228704</v>
      </c>
      <c r="M331" s="357">
        <v>228704</v>
      </c>
      <c r="N331" s="357">
        <v>218741</v>
      </c>
      <c r="O331" s="357">
        <v>888217</v>
      </c>
      <c r="P331" s="357">
        <v>888217</v>
      </c>
      <c r="Q331" s="357">
        <v>888217</v>
      </c>
      <c r="R331" s="357">
        <v>888216.91200000001</v>
      </c>
      <c r="S331" s="357">
        <v>888217</v>
      </c>
      <c r="T331" s="357">
        <v>888217</v>
      </c>
      <c r="U331" s="357">
        <v>888217</v>
      </c>
      <c r="X331" s="500"/>
    </row>
    <row r="332" spans="1:24" ht="18">
      <c r="A332" s="349">
        <v>303</v>
      </c>
      <c r="B332" s="353" t="s">
        <v>280</v>
      </c>
      <c r="C332" s="349" t="s">
        <v>366</v>
      </c>
      <c r="D332" s="357">
        <v>32894</v>
      </c>
      <c r="E332" s="357">
        <v>32820</v>
      </c>
      <c r="F332" s="357">
        <v>32524</v>
      </c>
      <c r="G332" s="357">
        <v>32400</v>
      </c>
      <c r="H332" s="357">
        <v>32487</v>
      </c>
      <c r="I332" s="357">
        <v>32610</v>
      </c>
      <c r="J332" s="357">
        <v>32573.089599999999</v>
      </c>
      <c r="K332" s="357">
        <v>32573.089599999999</v>
      </c>
      <c r="L332" s="357">
        <v>32573</v>
      </c>
      <c r="M332" s="357">
        <v>32573</v>
      </c>
      <c r="N332" s="357">
        <v>30756</v>
      </c>
      <c r="O332" s="357">
        <v>120848</v>
      </c>
      <c r="P332" s="357">
        <v>120848</v>
      </c>
      <c r="Q332" s="357">
        <v>120848</v>
      </c>
      <c r="R332" s="357">
        <v>120848.3808</v>
      </c>
      <c r="S332" s="357">
        <v>120848</v>
      </c>
      <c r="T332" s="357">
        <v>120848</v>
      </c>
      <c r="U332" s="357">
        <v>120848</v>
      </c>
      <c r="X332" s="500"/>
    </row>
    <row r="333" spans="1:24">
      <c r="A333" s="349">
        <v>304</v>
      </c>
      <c r="B333" s="353" t="s">
        <v>280</v>
      </c>
      <c r="C333" s="349" t="s">
        <v>365</v>
      </c>
      <c r="D333" s="357">
        <v>305335</v>
      </c>
      <c r="E333" s="357">
        <v>304853</v>
      </c>
      <c r="F333" s="357">
        <v>302319</v>
      </c>
      <c r="G333" s="357">
        <v>300897</v>
      </c>
      <c r="H333" s="357">
        <v>302244</v>
      </c>
      <c r="I333" s="357">
        <v>301849</v>
      </c>
      <c r="J333" s="357">
        <v>304136.07520000002</v>
      </c>
      <c r="K333" s="357">
        <v>304136.07520000002</v>
      </c>
      <c r="L333" s="357">
        <v>304136</v>
      </c>
      <c r="M333" s="357">
        <v>304136</v>
      </c>
      <c r="N333" s="357">
        <v>285779</v>
      </c>
      <c r="O333" s="357">
        <v>1107168</v>
      </c>
      <c r="P333" s="357">
        <v>1107168</v>
      </c>
      <c r="Q333" s="357">
        <v>1107168</v>
      </c>
      <c r="R333" s="357">
        <v>1107168.1344000001</v>
      </c>
      <c r="S333" s="357">
        <v>1107168</v>
      </c>
      <c r="T333" s="357">
        <v>1107168</v>
      </c>
      <c r="U333" s="357">
        <v>1107168</v>
      </c>
      <c r="X333" s="500"/>
    </row>
    <row r="334" spans="1:24">
      <c r="A334" s="349">
        <v>305</v>
      </c>
      <c r="B334" s="353" t="s">
        <v>281</v>
      </c>
      <c r="C334" s="349" t="s">
        <v>365</v>
      </c>
      <c r="D334" s="357">
        <v>90204</v>
      </c>
      <c r="E334" s="357">
        <v>89993</v>
      </c>
      <c r="F334" s="357">
        <v>88992</v>
      </c>
      <c r="G334" s="357">
        <v>88535</v>
      </c>
      <c r="H334" s="357">
        <v>89202</v>
      </c>
      <c r="I334" s="357">
        <v>89301</v>
      </c>
      <c r="J334" s="357">
        <v>89201.9856</v>
      </c>
      <c r="K334" s="357">
        <v>89201.9856</v>
      </c>
      <c r="L334" s="357">
        <v>89202</v>
      </c>
      <c r="M334" s="357">
        <v>89202</v>
      </c>
      <c r="N334" s="357">
        <v>84566</v>
      </c>
      <c r="O334" s="357">
        <v>353608</v>
      </c>
      <c r="P334" s="357">
        <v>353608</v>
      </c>
      <c r="Q334" s="357">
        <v>353608</v>
      </c>
      <c r="R334" s="357">
        <v>353608.22399999999</v>
      </c>
      <c r="S334" s="357">
        <v>353608</v>
      </c>
      <c r="T334" s="357">
        <v>353608</v>
      </c>
      <c r="U334" s="357">
        <v>353608</v>
      </c>
      <c r="X334" s="500"/>
    </row>
    <row r="335" spans="1:24">
      <c r="A335" s="349">
        <v>306</v>
      </c>
      <c r="B335" s="353" t="s">
        <v>282</v>
      </c>
      <c r="C335" s="349" t="s">
        <v>365</v>
      </c>
      <c r="D335" s="357">
        <v>90328</v>
      </c>
      <c r="E335" s="357">
        <v>90142</v>
      </c>
      <c r="F335" s="357">
        <v>89153</v>
      </c>
      <c r="G335" s="357">
        <v>88362</v>
      </c>
      <c r="H335" s="357">
        <v>89351</v>
      </c>
      <c r="I335" s="357">
        <v>89165</v>
      </c>
      <c r="J335" s="357">
        <v>89103.633600000001</v>
      </c>
      <c r="K335" s="357">
        <v>89103.633600000001</v>
      </c>
      <c r="L335" s="357">
        <v>89104</v>
      </c>
      <c r="M335" s="357">
        <v>89104</v>
      </c>
      <c r="N335" s="357">
        <v>84010</v>
      </c>
      <c r="O335" s="357">
        <v>335720</v>
      </c>
      <c r="P335" s="357">
        <v>335720</v>
      </c>
      <c r="Q335" s="357">
        <v>335720</v>
      </c>
      <c r="R335" s="357">
        <v>335720.18079999997</v>
      </c>
      <c r="S335" s="357">
        <v>335720</v>
      </c>
      <c r="T335" s="357">
        <v>335720</v>
      </c>
      <c r="U335" s="357">
        <v>335720</v>
      </c>
      <c r="X335" s="500"/>
    </row>
    <row r="336" spans="1:24">
      <c r="A336" s="349">
        <v>307</v>
      </c>
      <c r="B336" s="353" t="s">
        <v>283</v>
      </c>
      <c r="C336" s="349" t="s">
        <v>365</v>
      </c>
      <c r="D336" s="357">
        <v>89981</v>
      </c>
      <c r="E336" s="357">
        <v>89932</v>
      </c>
      <c r="F336" s="357">
        <v>89548</v>
      </c>
      <c r="G336" s="357">
        <v>88275</v>
      </c>
      <c r="H336" s="357">
        <v>88918</v>
      </c>
      <c r="I336" s="357">
        <v>89104</v>
      </c>
      <c r="J336" s="357">
        <v>89091.612800000003</v>
      </c>
      <c r="K336" s="357">
        <v>89091.612800000003</v>
      </c>
      <c r="L336" s="357">
        <v>89092</v>
      </c>
      <c r="M336" s="357">
        <v>89092</v>
      </c>
      <c r="N336" s="357">
        <v>84307</v>
      </c>
      <c r="O336" s="357">
        <v>342829</v>
      </c>
      <c r="P336" s="357">
        <v>342829</v>
      </c>
      <c r="Q336" s="357">
        <v>342829</v>
      </c>
      <c r="R336" s="357">
        <v>342828.84480000002</v>
      </c>
      <c r="S336" s="357">
        <v>342829</v>
      </c>
      <c r="T336" s="357">
        <v>342829</v>
      </c>
      <c r="U336" s="357">
        <v>342829</v>
      </c>
      <c r="X336" s="500"/>
    </row>
    <row r="337" spans="1:24">
      <c r="A337" s="349">
        <v>308</v>
      </c>
      <c r="B337" s="353" t="s">
        <v>284</v>
      </c>
      <c r="C337" s="349" t="s">
        <v>365</v>
      </c>
      <c r="D337" s="357">
        <v>89846</v>
      </c>
      <c r="E337" s="357">
        <v>89758</v>
      </c>
      <c r="F337" s="357">
        <v>89413</v>
      </c>
      <c r="G337" s="357">
        <v>88324</v>
      </c>
      <c r="H337" s="357">
        <v>89437</v>
      </c>
      <c r="I337" s="357">
        <v>89153</v>
      </c>
      <c r="J337" s="357">
        <v>89326.564799999993</v>
      </c>
      <c r="K337" s="357">
        <v>89326.564799999993</v>
      </c>
      <c r="L337" s="357">
        <v>89327</v>
      </c>
      <c r="M337" s="357">
        <v>89327</v>
      </c>
      <c r="N337" s="357">
        <v>84406</v>
      </c>
      <c r="O337" s="357">
        <v>340665</v>
      </c>
      <c r="P337" s="357">
        <v>340665</v>
      </c>
      <c r="Q337" s="357">
        <v>340665</v>
      </c>
      <c r="R337" s="357">
        <v>340665.10080000001</v>
      </c>
      <c r="S337" s="357">
        <v>340665</v>
      </c>
      <c r="T337" s="357">
        <v>340665</v>
      </c>
      <c r="U337" s="357">
        <v>340665</v>
      </c>
      <c r="X337" s="500"/>
    </row>
    <row r="338" spans="1:24">
      <c r="A338" s="349">
        <v>309</v>
      </c>
      <c r="B338" s="353" t="s">
        <v>285</v>
      </c>
      <c r="C338" s="349" t="s">
        <v>365</v>
      </c>
      <c r="D338" s="357">
        <v>119403</v>
      </c>
      <c r="E338" s="357">
        <v>120020</v>
      </c>
      <c r="F338" s="357">
        <v>118463</v>
      </c>
      <c r="G338" s="357">
        <v>117993</v>
      </c>
      <c r="H338" s="357">
        <v>118994</v>
      </c>
      <c r="I338" s="357">
        <v>118884</v>
      </c>
      <c r="J338" s="357">
        <v>118944.72319999999</v>
      </c>
      <c r="K338" s="357">
        <v>118944.72319999999</v>
      </c>
      <c r="L338" s="357">
        <v>118945</v>
      </c>
      <c r="M338" s="357">
        <v>118945</v>
      </c>
      <c r="N338" s="357">
        <v>113246</v>
      </c>
      <c r="O338" s="357">
        <v>450178</v>
      </c>
      <c r="P338" s="357">
        <v>450178</v>
      </c>
      <c r="Q338" s="357">
        <v>450178</v>
      </c>
      <c r="R338" s="357">
        <v>450177.86719999998</v>
      </c>
      <c r="S338" s="357">
        <v>450178</v>
      </c>
      <c r="T338" s="357">
        <v>450178</v>
      </c>
      <c r="U338" s="357">
        <v>450178</v>
      </c>
      <c r="X338" s="500"/>
    </row>
    <row r="339" spans="1:24">
      <c r="A339" s="349">
        <v>310</v>
      </c>
      <c r="B339" s="353" t="s">
        <v>286</v>
      </c>
      <c r="C339" s="349" t="s">
        <v>365</v>
      </c>
      <c r="D339" s="357">
        <v>120206</v>
      </c>
      <c r="E339" s="357">
        <v>120243</v>
      </c>
      <c r="F339" s="357">
        <v>118821</v>
      </c>
      <c r="G339" s="357">
        <v>117981</v>
      </c>
      <c r="H339" s="357">
        <v>119365</v>
      </c>
      <c r="I339" s="357">
        <v>118537</v>
      </c>
      <c r="J339" s="357">
        <v>118635.4608</v>
      </c>
      <c r="K339" s="357">
        <v>118635.4608</v>
      </c>
      <c r="L339" s="357">
        <v>118635</v>
      </c>
      <c r="M339" s="357">
        <v>118635</v>
      </c>
      <c r="N339" s="357">
        <v>112010</v>
      </c>
      <c r="O339" s="357">
        <v>453726</v>
      </c>
      <c r="P339" s="357">
        <v>453726</v>
      </c>
      <c r="Q339" s="357">
        <v>453726</v>
      </c>
      <c r="R339" s="357">
        <v>453726.1888</v>
      </c>
      <c r="S339" s="357">
        <v>453726</v>
      </c>
      <c r="T339" s="357">
        <v>453726</v>
      </c>
      <c r="U339" s="357">
        <v>453726</v>
      </c>
      <c r="X339" s="500"/>
    </row>
    <row r="340" spans="1:24">
      <c r="A340" s="349">
        <v>311</v>
      </c>
      <c r="B340" s="353" t="s">
        <v>287</v>
      </c>
      <c r="C340" s="349" t="s">
        <v>365</v>
      </c>
      <c r="D340" s="357">
        <v>119662</v>
      </c>
      <c r="E340" s="357">
        <v>119538</v>
      </c>
      <c r="F340" s="357">
        <v>118821</v>
      </c>
      <c r="G340" s="357">
        <v>117572</v>
      </c>
      <c r="H340" s="357">
        <v>118784</v>
      </c>
      <c r="I340" s="357">
        <v>118896</v>
      </c>
      <c r="J340" s="357">
        <v>119365.4512</v>
      </c>
      <c r="K340" s="357">
        <v>119365.4512</v>
      </c>
      <c r="L340" s="357">
        <v>119365</v>
      </c>
      <c r="M340" s="357">
        <v>119365</v>
      </c>
      <c r="N340" s="357">
        <v>115236</v>
      </c>
      <c r="O340" s="357">
        <v>436159</v>
      </c>
      <c r="P340" s="357">
        <v>436159</v>
      </c>
      <c r="Q340" s="357">
        <v>436159</v>
      </c>
      <c r="R340" s="357">
        <v>436159.42879999999</v>
      </c>
      <c r="S340" s="357">
        <v>436159</v>
      </c>
      <c r="T340" s="357">
        <v>436159</v>
      </c>
      <c r="U340" s="357">
        <v>436159</v>
      </c>
      <c r="X340" s="500"/>
    </row>
    <row r="341" spans="1:24">
      <c r="A341" s="349">
        <v>312</v>
      </c>
      <c r="B341" s="353" t="s">
        <v>288</v>
      </c>
      <c r="C341" s="349" t="s">
        <v>365</v>
      </c>
      <c r="D341" s="357">
        <v>119761</v>
      </c>
      <c r="E341" s="357">
        <v>120181</v>
      </c>
      <c r="F341" s="357">
        <v>119068</v>
      </c>
      <c r="G341" s="357">
        <v>117869</v>
      </c>
      <c r="H341" s="357">
        <v>118451</v>
      </c>
      <c r="I341" s="357">
        <v>119303</v>
      </c>
      <c r="J341" s="357">
        <v>119204.80959999999</v>
      </c>
      <c r="K341" s="357">
        <v>119204.80959999999</v>
      </c>
      <c r="L341" s="357">
        <v>119205</v>
      </c>
      <c r="M341" s="357">
        <v>119205</v>
      </c>
      <c r="N341" s="357">
        <v>113147</v>
      </c>
      <c r="O341" s="357">
        <v>471490</v>
      </c>
      <c r="P341" s="357">
        <v>471490</v>
      </c>
      <c r="Q341" s="357">
        <v>471490</v>
      </c>
      <c r="R341" s="357">
        <v>471489.65279999998</v>
      </c>
      <c r="S341" s="357">
        <v>471490</v>
      </c>
      <c r="T341" s="357">
        <v>471490</v>
      </c>
      <c r="U341" s="357">
        <v>471490</v>
      </c>
      <c r="X341" s="500"/>
    </row>
    <row r="342" spans="1:24">
      <c r="A342" s="349">
        <v>313</v>
      </c>
      <c r="B342" s="353" t="s">
        <v>289</v>
      </c>
      <c r="C342" s="349" t="s">
        <v>365</v>
      </c>
      <c r="D342" s="357">
        <v>153917</v>
      </c>
      <c r="E342" s="357">
        <v>153200</v>
      </c>
      <c r="F342" s="357">
        <v>152395</v>
      </c>
      <c r="G342" s="357">
        <v>150938</v>
      </c>
      <c r="H342" s="357">
        <v>151666</v>
      </c>
      <c r="I342" s="357">
        <v>151753</v>
      </c>
      <c r="J342" s="357">
        <v>152432.48639999999</v>
      </c>
      <c r="K342" s="357">
        <v>152432.48639999999</v>
      </c>
      <c r="L342" s="357">
        <v>152432</v>
      </c>
      <c r="M342" s="357">
        <v>152432</v>
      </c>
      <c r="N342" s="357">
        <v>146475</v>
      </c>
      <c r="O342" s="357">
        <v>610213</v>
      </c>
      <c r="P342" s="357">
        <v>610213</v>
      </c>
      <c r="Q342" s="357">
        <v>610213</v>
      </c>
      <c r="R342" s="357">
        <v>610212.9632</v>
      </c>
      <c r="S342" s="357">
        <v>610213</v>
      </c>
      <c r="T342" s="357">
        <v>610213</v>
      </c>
      <c r="U342" s="357">
        <v>610213</v>
      </c>
      <c r="X342" s="500"/>
    </row>
    <row r="343" spans="1:24">
      <c r="A343" s="349">
        <v>314</v>
      </c>
      <c r="B343" s="353" t="s">
        <v>290</v>
      </c>
      <c r="C343" s="349" t="s">
        <v>365</v>
      </c>
      <c r="D343" s="357">
        <v>152865</v>
      </c>
      <c r="E343" s="357">
        <v>152940</v>
      </c>
      <c r="F343" s="357">
        <v>152519</v>
      </c>
      <c r="G343" s="357">
        <v>151320</v>
      </c>
      <c r="H343" s="357">
        <v>152593</v>
      </c>
      <c r="I343" s="357">
        <v>152458</v>
      </c>
      <c r="J343" s="357">
        <v>152457.6208</v>
      </c>
      <c r="K343" s="357">
        <v>152457.6208</v>
      </c>
      <c r="L343" s="357">
        <v>152458</v>
      </c>
      <c r="M343" s="357">
        <v>152458</v>
      </c>
      <c r="N343" s="357">
        <v>143026</v>
      </c>
      <c r="O343" s="357">
        <v>560766</v>
      </c>
      <c r="P343" s="357">
        <v>560766</v>
      </c>
      <c r="Q343" s="357">
        <v>560766</v>
      </c>
      <c r="R343" s="357">
        <v>560765.94880000001</v>
      </c>
      <c r="S343" s="357">
        <v>560766</v>
      </c>
      <c r="T343" s="357">
        <v>560766</v>
      </c>
      <c r="U343" s="357">
        <v>560766</v>
      </c>
      <c r="X343" s="500"/>
    </row>
    <row r="344" spans="1:24">
      <c r="A344" s="349">
        <v>315</v>
      </c>
      <c r="B344" s="353" t="s">
        <v>291</v>
      </c>
      <c r="C344" s="349" t="s">
        <v>365</v>
      </c>
      <c r="D344" s="357">
        <v>153743</v>
      </c>
      <c r="E344" s="357">
        <v>153162</v>
      </c>
      <c r="F344" s="357">
        <v>151692</v>
      </c>
      <c r="G344" s="357">
        <v>151283</v>
      </c>
      <c r="H344" s="357">
        <v>152667</v>
      </c>
      <c r="I344" s="357">
        <v>152211</v>
      </c>
      <c r="J344" s="357">
        <v>152334.13440000001</v>
      </c>
      <c r="K344" s="357">
        <v>152334.13440000001</v>
      </c>
      <c r="L344" s="357">
        <v>152334</v>
      </c>
      <c r="M344" s="357">
        <v>152334</v>
      </c>
      <c r="N344" s="357">
        <v>146635</v>
      </c>
      <c r="O344" s="357">
        <v>558480</v>
      </c>
      <c r="P344" s="357">
        <v>558480</v>
      </c>
      <c r="Q344" s="357">
        <v>558480</v>
      </c>
      <c r="R344" s="357">
        <v>558479.8112</v>
      </c>
      <c r="S344" s="357">
        <v>558480</v>
      </c>
      <c r="T344" s="357">
        <v>558480</v>
      </c>
      <c r="U344" s="357">
        <v>558480</v>
      </c>
      <c r="X344" s="500"/>
    </row>
    <row r="345" spans="1:24">
      <c r="A345" s="349">
        <v>316</v>
      </c>
      <c r="B345" s="353" t="s">
        <v>292</v>
      </c>
      <c r="C345" s="349" t="s">
        <v>365</v>
      </c>
      <c r="D345" s="357">
        <v>153310</v>
      </c>
      <c r="E345" s="357">
        <v>153335</v>
      </c>
      <c r="F345" s="357">
        <v>152099</v>
      </c>
      <c r="G345" s="357">
        <v>150677</v>
      </c>
      <c r="H345" s="357">
        <v>152050</v>
      </c>
      <c r="I345" s="357">
        <v>152000</v>
      </c>
      <c r="J345" s="357">
        <v>152445.6</v>
      </c>
      <c r="K345" s="357">
        <v>152445.6</v>
      </c>
      <c r="L345" s="357">
        <v>152446</v>
      </c>
      <c r="M345" s="357">
        <v>152446</v>
      </c>
      <c r="N345" s="357">
        <v>143829</v>
      </c>
      <c r="O345" s="357">
        <v>588432</v>
      </c>
      <c r="P345" s="357">
        <v>588432</v>
      </c>
      <c r="Q345" s="357">
        <v>588432</v>
      </c>
      <c r="R345" s="357">
        <v>588432.36639999994</v>
      </c>
      <c r="S345" s="357">
        <v>588432</v>
      </c>
      <c r="T345" s="357">
        <v>588432</v>
      </c>
      <c r="U345" s="357">
        <v>588432</v>
      </c>
      <c r="X345" s="500"/>
    </row>
    <row r="346" spans="1:24">
      <c r="A346" s="349">
        <v>317</v>
      </c>
      <c r="B346" s="353" t="s">
        <v>293</v>
      </c>
      <c r="C346" s="349" t="s">
        <v>365</v>
      </c>
      <c r="D346" s="357">
        <v>306200</v>
      </c>
      <c r="E346" s="357">
        <v>303877</v>
      </c>
      <c r="F346" s="357">
        <v>302690</v>
      </c>
      <c r="G346" s="357">
        <v>299847</v>
      </c>
      <c r="H346" s="357">
        <v>303456</v>
      </c>
      <c r="I346" s="357">
        <v>302591</v>
      </c>
      <c r="J346" s="357">
        <v>301762.51360000001</v>
      </c>
      <c r="K346" s="357">
        <v>301762.51360000001</v>
      </c>
      <c r="L346" s="357">
        <v>301763</v>
      </c>
      <c r="M346" s="357">
        <v>301763</v>
      </c>
      <c r="N346" s="357">
        <v>286990</v>
      </c>
      <c r="O346" s="357">
        <v>1177087</v>
      </c>
      <c r="P346" s="357">
        <v>1177087</v>
      </c>
      <c r="Q346" s="357">
        <v>1177087</v>
      </c>
      <c r="R346" s="357">
        <v>1177086.5711999999</v>
      </c>
      <c r="S346" s="357">
        <v>1177087</v>
      </c>
      <c r="T346" s="357">
        <v>1177087</v>
      </c>
      <c r="U346" s="357">
        <v>1177087</v>
      </c>
      <c r="X346" s="500"/>
    </row>
    <row r="347" spans="1:24">
      <c r="A347" s="349">
        <v>318</v>
      </c>
      <c r="B347" s="353" t="s">
        <v>294</v>
      </c>
      <c r="C347" s="349" t="s">
        <v>365</v>
      </c>
      <c r="D347" s="357">
        <v>304829</v>
      </c>
      <c r="E347" s="357">
        <v>303938</v>
      </c>
      <c r="F347" s="357">
        <v>301812</v>
      </c>
      <c r="G347" s="357">
        <v>298969</v>
      </c>
      <c r="H347" s="357">
        <v>302134</v>
      </c>
      <c r="I347" s="357">
        <v>301713</v>
      </c>
      <c r="J347" s="357">
        <v>303802.77120000002</v>
      </c>
      <c r="K347" s="357">
        <v>303802.77120000002</v>
      </c>
      <c r="L347" s="357">
        <v>303803</v>
      </c>
      <c r="M347" s="357">
        <v>303803</v>
      </c>
      <c r="N347" s="357">
        <v>285445</v>
      </c>
      <c r="O347" s="357">
        <v>1111383</v>
      </c>
      <c r="P347" s="357">
        <v>1111383</v>
      </c>
      <c r="Q347" s="357">
        <v>1111383</v>
      </c>
      <c r="R347" s="357">
        <v>1111383.064</v>
      </c>
      <c r="S347" s="357">
        <v>1111383</v>
      </c>
      <c r="T347" s="357">
        <v>1111383</v>
      </c>
      <c r="U347" s="357">
        <v>1111383</v>
      </c>
      <c r="X347" s="500"/>
    </row>
    <row r="348" spans="1:24">
      <c r="A348" s="349">
        <v>319</v>
      </c>
      <c r="B348" s="353" t="s">
        <v>295</v>
      </c>
      <c r="C348" s="349" t="s">
        <v>365</v>
      </c>
      <c r="D348" s="357">
        <v>304285</v>
      </c>
      <c r="E348" s="357">
        <v>305174</v>
      </c>
      <c r="F348" s="357">
        <v>302479</v>
      </c>
      <c r="G348" s="357">
        <v>300242</v>
      </c>
      <c r="H348" s="357">
        <v>302493</v>
      </c>
      <c r="I348" s="357">
        <v>301812</v>
      </c>
      <c r="J348" s="357">
        <v>302355.90399999998</v>
      </c>
      <c r="K348" s="357">
        <v>302355.90399999998</v>
      </c>
      <c r="L348" s="357">
        <v>302356</v>
      </c>
      <c r="M348" s="357">
        <v>302356</v>
      </c>
      <c r="N348" s="357">
        <v>288598</v>
      </c>
      <c r="O348" s="357">
        <v>1111581</v>
      </c>
      <c r="P348" s="357">
        <v>1111581</v>
      </c>
      <c r="Q348" s="357">
        <v>1111581</v>
      </c>
      <c r="R348" s="357">
        <v>1111580.8607999999</v>
      </c>
      <c r="S348" s="357">
        <v>1111581</v>
      </c>
      <c r="T348" s="357">
        <v>1111581</v>
      </c>
      <c r="U348" s="357">
        <v>1111581</v>
      </c>
      <c r="X348" s="500"/>
    </row>
    <row r="349" spans="1:24">
      <c r="A349" s="349">
        <v>320</v>
      </c>
      <c r="B349" s="353" t="s">
        <v>296</v>
      </c>
      <c r="C349" s="349" t="s">
        <v>365</v>
      </c>
      <c r="D349" s="357">
        <v>305830</v>
      </c>
      <c r="E349" s="357">
        <v>305225</v>
      </c>
      <c r="F349" s="357">
        <v>303382</v>
      </c>
      <c r="G349" s="357">
        <v>299563</v>
      </c>
      <c r="H349" s="357">
        <v>302912</v>
      </c>
      <c r="I349" s="357">
        <v>302060</v>
      </c>
      <c r="J349" s="357">
        <v>302566.81439999997</v>
      </c>
      <c r="K349" s="357">
        <v>302566.81439999997</v>
      </c>
      <c r="L349" s="357">
        <v>302567</v>
      </c>
      <c r="M349" s="357">
        <v>302567</v>
      </c>
      <c r="N349" s="357">
        <v>292553</v>
      </c>
      <c r="O349" s="357">
        <v>1182600</v>
      </c>
      <c r="P349" s="357">
        <v>1182600</v>
      </c>
      <c r="Q349" s="357">
        <v>1182600</v>
      </c>
      <c r="R349" s="357">
        <v>1182599.7472000001</v>
      </c>
      <c r="S349" s="357">
        <v>1182600</v>
      </c>
      <c r="T349" s="357">
        <v>1182600</v>
      </c>
      <c r="U349" s="357">
        <v>1182600</v>
      </c>
      <c r="X349" s="500"/>
    </row>
    <row r="350" spans="1:24">
      <c r="A350" s="349">
        <v>321</v>
      </c>
      <c r="B350" s="353" t="s">
        <v>297</v>
      </c>
      <c r="C350" s="349" t="s">
        <v>365</v>
      </c>
      <c r="D350" s="357">
        <v>778309</v>
      </c>
      <c r="E350" s="357">
        <v>778309</v>
      </c>
      <c r="F350" s="357">
        <v>769309</v>
      </c>
      <c r="G350" s="357">
        <v>764500</v>
      </c>
      <c r="H350" s="357">
        <v>769061</v>
      </c>
      <c r="I350" s="357">
        <v>772116</v>
      </c>
      <c r="J350" s="357">
        <v>769123.56799999997</v>
      </c>
      <c r="K350" s="357">
        <v>769123.56799999997</v>
      </c>
      <c r="L350" s="357">
        <v>769124</v>
      </c>
      <c r="M350" s="357">
        <v>769124</v>
      </c>
      <c r="N350" s="357">
        <v>742397</v>
      </c>
      <c r="O350" s="357">
        <v>1998376</v>
      </c>
      <c r="P350" s="357">
        <v>1998376</v>
      </c>
      <c r="Q350" s="357">
        <v>1998376</v>
      </c>
      <c r="R350" s="357">
        <v>1998376.04</v>
      </c>
      <c r="S350" s="357">
        <v>1998376</v>
      </c>
      <c r="T350" s="357">
        <v>1998376</v>
      </c>
      <c r="U350" s="357">
        <v>1998376</v>
      </c>
      <c r="X350" s="500"/>
    </row>
    <row r="351" spans="1:24">
      <c r="A351" s="349">
        <v>322</v>
      </c>
      <c r="B351" s="353" t="s">
        <v>298</v>
      </c>
      <c r="C351" s="349" t="s">
        <v>365</v>
      </c>
      <c r="D351" s="357">
        <v>776305</v>
      </c>
      <c r="E351" s="357">
        <v>776985</v>
      </c>
      <c r="F351" s="357">
        <v>768246</v>
      </c>
      <c r="G351" s="357">
        <v>762572</v>
      </c>
      <c r="H351" s="357">
        <v>769061</v>
      </c>
      <c r="I351" s="357">
        <v>771930</v>
      </c>
      <c r="J351" s="357">
        <v>771744.10239999997</v>
      </c>
      <c r="K351" s="357">
        <v>771744.10239999997</v>
      </c>
      <c r="L351" s="357">
        <v>771744</v>
      </c>
      <c r="M351" s="357">
        <v>771744</v>
      </c>
      <c r="N351" s="357">
        <v>725722</v>
      </c>
      <c r="O351" s="357">
        <v>1998376</v>
      </c>
      <c r="P351" s="357">
        <v>1998376</v>
      </c>
      <c r="Q351" s="357">
        <v>1998376</v>
      </c>
      <c r="R351" s="357">
        <v>1998376.04</v>
      </c>
      <c r="S351" s="357">
        <v>1998376</v>
      </c>
      <c r="T351" s="357">
        <v>1998376</v>
      </c>
      <c r="U351" s="357">
        <v>1998376</v>
      </c>
      <c r="X351" s="500"/>
    </row>
    <row r="352" spans="1:24">
      <c r="A352" s="349">
        <v>323</v>
      </c>
      <c r="B352" s="353" t="s">
        <v>299</v>
      </c>
      <c r="C352" s="349" t="s">
        <v>365</v>
      </c>
      <c r="D352" s="357">
        <v>778111</v>
      </c>
      <c r="E352" s="357">
        <v>780113</v>
      </c>
      <c r="F352" s="357">
        <v>768691</v>
      </c>
      <c r="G352" s="357">
        <v>762436</v>
      </c>
      <c r="H352" s="357">
        <v>770867</v>
      </c>
      <c r="I352" s="357">
        <v>768370</v>
      </c>
      <c r="J352" s="357">
        <v>773177.85600000003</v>
      </c>
      <c r="K352" s="357">
        <v>773177.85600000003</v>
      </c>
      <c r="L352" s="357">
        <v>773178</v>
      </c>
      <c r="M352" s="357">
        <v>773178</v>
      </c>
      <c r="N352" s="357">
        <v>737279</v>
      </c>
      <c r="O352" s="357">
        <v>1998376</v>
      </c>
      <c r="P352" s="357">
        <v>1998376</v>
      </c>
      <c r="Q352" s="357">
        <v>1998376</v>
      </c>
      <c r="R352" s="357">
        <v>1998376.04</v>
      </c>
      <c r="S352" s="357">
        <v>1998376</v>
      </c>
      <c r="T352" s="357">
        <v>1998376</v>
      </c>
      <c r="U352" s="357">
        <v>1998376</v>
      </c>
      <c r="X352" s="500"/>
    </row>
    <row r="353" spans="1:24">
      <c r="A353" s="349">
        <v>324</v>
      </c>
      <c r="B353" s="353" t="s">
        <v>300</v>
      </c>
      <c r="C353" s="349" t="s">
        <v>365</v>
      </c>
      <c r="D353" s="357">
        <v>1070627</v>
      </c>
      <c r="E353" s="357">
        <v>1069774</v>
      </c>
      <c r="F353" s="357">
        <v>1061503</v>
      </c>
      <c r="G353" s="357">
        <v>1056597</v>
      </c>
      <c r="H353" s="357">
        <v>1059526</v>
      </c>
      <c r="I353" s="357">
        <v>1065114</v>
      </c>
      <c r="J353" s="357">
        <v>1061936.0496</v>
      </c>
      <c r="K353" s="357">
        <v>1061936.0496</v>
      </c>
      <c r="L353" s="357">
        <v>1061936</v>
      </c>
      <c r="M353" s="357">
        <v>1061936</v>
      </c>
      <c r="N353" s="357">
        <v>1023096</v>
      </c>
      <c r="O353" s="357">
        <v>2583779</v>
      </c>
      <c r="P353" s="357">
        <v>2583779</v>
      </c>
      <c r="Q353" s="357">
        <v>2583779</v>
      </c>
      <c r="R353" s="357">
        <v>2583779.1647999999</v>
      </c>
      <c r="S353" s="357">
        <v>2583779</v>
      </c>
      <c r="T353" s="357">
        <v>2583779</v>
      </c>
      <c r="U353" s="357">
        <v>2583779</v>
      </c>
      <c r="X353" s="500"/>
    </row>
    <row r="354" spans="1:24">
      <c r="A354" s="349">
        <v>325</v>
      </c>
      <c r="B354" s="353" t="s">
        <v>301</v>
      </c>
      <c r="C354" s="349" t="s">
        <v>365</v>
      </c>
      <c r="D354" s="357">
        <v>1069255</v>
      </c>
      <c r="E354" s="357">
        <v>1069687</v>
      </c>
      <c r="F354" s="357">
        <v>1066497</v>
      </c>
      <c r="G354" s="357">
        <v>1051082</v>
      </c>
      <c r="H354" s="357">
        <v>1062529</v>
      </c>
      <c r="I354" s="357">
        <v>1059439</v>
      </c>
      <c r="J354" s="357">
        <v>1060897.8895999999</v>
      </c>
      <c r="K354" s="357">
        <v>1060897.8895999999</v>
      </c>
      <c r="L354" s="357">
        <v>1060898</v>
      </c>
      <c r="M354" s="357">
        <v>1060898</v>
      </c>
      <c r="N354" s="357">
        <v>1028424</v>
      </c>
      <c r="O354" s="357">
        <v>2669904</v>
      </c>
      <c r="P354" s="357">
        <v>2669904</v>
      </c>
      <c r="Q354" s="357">
        <v>2669904</v>
      </c>
      <c r="R354" s="357">
        <v>2669903.8256000001</v>
      </c>
      <c r="S354" s="357">
        <v>2669904</v>
      </c>
      <c r="T354" s="357">
        <v>2669904</v>
      </c>
      <c r="U354" s="357">
        <v>2669904</v>
      </c>
      <c r="X354" s="500"/>
    </row>
    <row r="355" spans="1:24">
      <c r="A355" s="349">
        <v>326</v>
      </c>
      <c r="B355" s="353" t="s">
        <v>302</v>
      </c>
      <c r="C355" s="349" t="s">
        <v>365</v>
      </c>
      <c r="D355" s="357">
        <v>1071924</v>
      </c>
      <c r="E355" s="357">
        <v>1073643</v>
      </c>
      <c r="F355" s="357">
        <v>1060379</v>
      </c>
      <c r="G355" s="357">
        <v>1058487</v>
      </c>
      <c r="H355" s="357">
        <v>1062369</v>
      </c>
      <c r="I355" s="357">
        <v>1061677</v>
      </c>
      <c r="J355" s="357">
        <v>1064865.8463999999</v>
      </c>
      <c r="K355" s="357">
        <v>1064865.8463999999</v>
      </c>
      <c r="L355" s="357">
        <v>1064866</v>
      </c>
      <c r="M355" s="357">
        <v>1064866</v>
      </c>
      <c r="N355" s="357">
        <v>1033430</v>
      </c>
      <c r="O355" s="357">
        <v>2669904</v>
      </c>
      <c r="P355" s="357">
        <v>2669904</v>
      </c>
      <c r="Q355" s="357">
        <v>2669904</v>
      </c>
      <c r="R355" s="357">
        <v>2669903.8256000001</v>
      </c>
      <c r="S355" s="357">
        <v>2669904</v>
      </c>
      <c r="T355" s="357">
        <v>2669904</v>
      </c>
      <c r="U355" s="357">
        <v>2669904</v>
      </c>
      <c r="X355" s="500"/>
    </row>
    <row r="356" spans="1:24">
      <c r="A356" s="349">
        <v>327</v>
      </c>
      <c r="B356" s="353" t="s">
        <v>303</v>
      </c>
      <c r="C356" s="349" t="s">
        <v>365</v>
      </c>
      <c r="D356" s="357">
        <v>2419084</v>
      </c>
      <c r="E356" s="357">
        <v>2413262</v>
      </c>
      <c r="F356" s="357">
        <v>2406451</v>
      </c>
      <c r="G356" s="357">
        <v>2376720</v>
      </c>
      <c r="H356" s="357">
        <v>2398872</v>
      </c>
      <c r="I356" s="357">
        <v>2397710</v>
      </c>
      <c r="J356" s="357">
        <v>2393050.5951999999</v>
      </c>
      <c r="K356" s="357">
        <v>2393050.5951999999</v>
      </c>
      <c r="L356" s="357">
        <v>2393051</v>
      </c>
      <c r="M356" s="357">
        <v>2393051</v>
      </c>
      <c r="N356" s="357">
        <v>2296084</v>
      </c>
      <c r="O356" s="357">
        <v>5440952</v>
      </c>
      <c r="P356" s="357">
        <v>5440952</v>
      </c>
      <c r="Q356" s="357">
        <v>5440952</v>
      </c>
      <c r="R356" s="357">
        <v>5440951.7551999995</v>
      </c>
      <c r="S356" s="357">
        <v>5440952</v>
      </c>
      <c r="T356" s="357">
        <v>5440952</v>
      </c>
      <c r="U356" s="357">
        <v>5440952</v>
      </c>
      <c r="X356" s="500"/>
    </row>
    <row r="357" spans="1:24">
      <c r="A357" s="349">
        <v>328</v>
      </c>
      <c r="B357" s="353" t="s">
        <v>304</v>
      </c>
      <c r="C357" s="349" t="s">
        <v>365</v>
      </c>
      <c r="D357" s="357">
        <v>2425500</v>
      </c>
      <c r="E357" s="357">
        <v>2418503</v>
      </c>
      <c r="F357" s="357">
        <v>2399849</v>
      </c>
      <c r="G357" s="357">
        <v>2387017</v>
      </c>
      <c r="H357" s="357">
        <v>2395572</v>
      </c>
      <c r="I357" s="357">
        <v>2404707</v>
      </c>
      <c r="J357" s="357">
        <v>2406648.3056000001</v>
      </c>
      <c r="K357" s="357">
        <v>2406648.3056000001</v>
      </c>
      <c r="L357" s="357">
        <v>2406648</v>
      </c>
      <c r="M357" s="357">
        <v>2406648</v>
      </c>
      <c r="N357" s="357">
        <v>2284032</v>
      </c>
      <c r="O357" s="357">
        <v>5829593</v>
      </c>
      <c r="P357" s="357">
        <v>5829593</v>
      </c>
      <c r="Q357" s="357">
        <v>5829593</v>
      </c>
      <c r="R357" s="357">
        <v>5829592.9616</v>
      </c>
      <c r="S357" s="357">
        <v>5829593</v>
      </c>
      <c r="T357" s="357">
        <v>5829593</v>
      </c>
      <c r="U357" s="357">
        <v>5829593</v>
      </c>
      <c r="X357" s="500"/>
    </row>
    <row r="358" spans="1:24">
      <c r="A358" s="349">
        <v>329</v>
      </c>
      <c r="B358" s="353" t="s">
        <v>305</v>
      </c>
      <c r="C358" s="349" t="s">
        <v>365</v>
      </c>
      <c r="D358" s="357">
        <v>2410926</v>
      </c>
      <c r="E358" s="357">
        <v>2428603</v>
      </c>
      <c r="F358" s="357">
        <v>2405683</v>
      </c>
      <c r="G358" s="357">
        <v>2377697</v>
      </c>
      <c r="H358" s="357">
        <v>2392271</v>
      </c>
      <c r="I358" s="357">
        <v>2391690</v>
      </c>
      <c r="J358" s="357">
        <v>2393433.0751999998</v>
      </c>
      <c r="K358" s="357">
        <v>2393433.0751999998</v>
      </c>
      <c r="L358" s="357">
        <v>2393433</v>
      </c>
      <c r="M358" s="357">
        <v>2393433</v>
      </c>
      <c r="N358" s="357">
        <v>2331254</v>
      </c>
      <c r="O358" s="357">
        <v>6023907</v>
      </c>
      <c r="P358" s="357">
        <v>6023907</v>
      </c>
      <c r="Q358" s="357">
        <v>6023907</v>
      </c>
      <c r="R358" s="357">
        <v>6023907.0080000004</v>
      </c>
      <c r="S358" s="357">
        <v>6023907</v>
      </c>
      <c r="T358" s="357">
        <v>6023907</v>
      </c>
      <c r="U358" s="357">
        <v>6023907</v>
      </c>
      <c r="X358" s="500"/>
    </row>
    <row r="359" spans="1:24">
      <c r="A359" s="349">
        <v>330</v>
      </c>
      <c r="B359" s="353" t="s">
        <v>306</v>
      </c>
      <c r="C359" s="349" t="s">
        <v>365</v>
      </c>
      <c r="D359" s="357">
        <v>5834773</v>
      </c>
      <c r="E359" s="357">
        <v>5795079</v>
      </c>
      <c r="F359" s="357">
        <v>5755373</v>
      </c>
      <c r="G359" s="357">
        <v>5736694</v>
      </c>
      <c r="H359" s="357">
        <v>5778724</v>
      </c>
      <c r="I359" s="357">
        <v>5790406</v>
      </c>
      <c r="J359" s="357">
        <v>5781530.5247999998</v>
      </c>
      <c r="K359" s="357">
        <v>5781530.5247999998</v>
      </c>
      <c r="L359" s="357">
        <v>5781531</v>
      </c>
      <c r="M359" s="357">
        <v>5781531</v>
      </c>
      <c r="N359" s="357">
        <v>5522304</v>
      </c>
      <c r="O359" s="357">
        <v>11677024</v>
      </c>
      <c r="P359" s="357">
        <v>11677024</v>
      </c>
      <c r="Q359" s="357">
        <v>11677024</v>
      </c>
      <c r="R359" s="357">
        <v>11677023.6976</v>
      </c>
      <c r="S359" s="357">
        <v>11677024</v>
      </c>
      <c r="T359" s="357">
        <v>11677024</v>
      </c>
      <c r="U359" s="357">
        <v>11677024</v>
      </c>
      <c r="X359" s="500"/>
    </row>
    <row r="360" spans="1:24">
      <c r="A360" s="349">
        <v>331</v>
      </c>
      <c r="B360" s="353" t="s">
        <v>307</v>
      </c>
      <c r="C360" s="349" t="s">
        <v>365</v>
      </c>
      <c r="D360" s="357">
        <v>5831979</v>
      </c>
      <c r="E360" s="357">
        <v>5833375</v>
      </c>
      <c r="F360" s="357">
        <v>5767982</v>
      </c>
      <c r="G360" s="357">
        <v>5732949</v>
      </c>
      <c r="H360" s="357">
        <v>5767054</v>
      </c>
      <c r="I360" s="357">
        <v>5761443</v>
      </c>
      <c r="J360" s="357">
        <v>5762851.2944</v>
      </c>
      <c r="K360" s="357">
        <v>5762851.2944</v>
      </c>
      <c r="L360" s="357">
        <v>5762851</v>
      </c>
      <c r="M360" s="357">
        <v>5762851</v>
      </c>
      <c r="N360" s="357">
        <v>5550786</v>
      </c>
      <c r="O360" s="357">
        <v>11677024</v>
      </c>
      <c r="P360" s="357">
        <v>11677024</v>
      </c>
      <c r="Q360" s="357">
        <v>11677024</v>
      </c>
      <c r="R360" s="357">
        <v>11677023.6976</v>
      </c>
      <c r="S360" s="357">
        <v>11677024</v>
      </c>
      <c r="T360" s="357">
        <v>11677024</v>
      </c>
      <c r="U360" s="357">
        <v>11677024</v>
      </c>
      <c r="X360" s="500"/>
    </row>
    <row r="361" spans="1:24">
      <c r="A361" s="349">
        <v>332</v>
      </c>
      <c r="B361" s="353" t="s">
        <v>308</v>
      </c>
      <c r="C361" s="349" t="s">
        <v>365</v>
      </c>
      <c r="D361" s="357">
        <v>5830112</v>
      </c>
      <c r="E361" s="357">
        <v>5824499</v>
      </c>
      <c r="F361" s="357">
        <v>5782000</v>
      </c>
      <c r="G361" s="357">
        <v>5710995</v>
      </c>
      <c r="H361" s="357">
        <v>5772655</v>
      </c>
      <c r="I361" s="357">
        <v>5790406</v>
      </c>
      <c r="J361" s="357">
        <v>5772184.8991999999</v>
      </c>
      <c r="K361" s="357">
        <v>5772184.8991999999</v>
      </c>
      <c r="L361" s="357">
        <v>5772185</v>
      </c>
      <c r="M361" s="357">
        <v>5772185</v>
      </c>
      <c r="N361" s="357">
        <v>5511092</v>
      </c>
      <c r="O361" s="357">
        <v>12144113</v>
      </c>
      <c r="P361" s="357">
        <v>12144113</v>
      </c>
      <c r="Q361" s="357">
        <v>12144113</v>
      </c>
      <c r="R361" s="357">
        <v>12144112.6448</v>
      </c>
      <c r="S361" s="357">
        <v>12144113</v>
      </c>
      <c r="T361" s="357">
        <v>12144113</v>
      </c>
      <c r="U361" s="357">
        <v>12144113</v>
      </c>
      <c r="X361" s="500"/>
    </row>
    <row r="362" spans="1:24">
      <c r="A362" s="349">
        <v>333</v>
      </c>
      <c r="B362" s="353" t="s">
        <v>309</v>
      </c>
      <c r="C362" s="349" t="s">
        <v>365</v>
      </c>
      <c r="D362" s="357">
        <v>8931429</v>
      </c>
      <c r="E362" s="357">
        <v>8925693</v>
      </c>
      <c r="F362" s="357">
        <v>8872611</v>
      </c>
      <c r="G362" s="357">
        <v>8794424</v>
      </c>
      <c r="H362" s="357">
        <v>8874045</v>
      </c>
      <c r="I362" s="357">
        <v>8823832</v>
      </c>
      <c r="J362" s="357">
        <v>8884800.5823999997</v>
      </c>
      <c r="K362" s="357">
        <v>8884800.5823999997</v>
      </c>
      <c r="L362" s="357">
        <v>8884801</v>
      </c>
      <c r="M362" s="357">
        <v>8884801</v>
      </c>
      <c r="N362" s="357">
        <v>8338201</v>
      </c>
      <c r="O362" s="357">
        <v>18650474</v>
      </c>
      <c r="P362" s="357">
        <v>18650474</v>
      </c>
      <c r="Q362" s="357">
        <v>18650474</v>
      </c>
      <c r="R362" s="357">
        <v>18650474.4608</v>
      </c>
      <c r="S362" s="357">
        <v>18650474</v>
      </c>
      <c r="T362" s="357">
        <v>18650474</v>
      </c>
      <c r="U362" s="357">
        <v>18650474</v>
      </c>
      <c r="X362" s="500"/>
    </row>
    <row r="363" spans="1:24">
      <c r="A363" s="349">
        <v>334</v>
      </c>
      <c r="B363" s="353" t="s">
        <v>310</v>
      </c>
      <c r="C363" s="349" t="s">
        <v>365</v>
      </c>
      <c r="D363" s="357">
        <v>8805290</v>
      </c>
      <c r="E363" s="357">
        <v>8756597</v>
      </c>
      <c r="F363" s="357">
        <v>8734717</v>
      </c>
      <c r="G363" s="357">
        <v>8651447</v>
      </c>
      <c r="H363" s="357">
        <v>8750243</v>
      </c>
      <c r="I363" s="357">
        <v>8726248</v>
      </c>
      <c r="J363" s="357">
        <v>8707198.7263999991</v>
      </c>
      <c r="K363" s="357">
        <v>8707198.7263999991</v>
      </c>
      <c r="L363" s="357">
        <v>8707199</v>
      </c>
      <c r="M363" s="357">
        <v>8707199</v>
      </c>
      <c r="N363" s="357">
        <v>8372677</v>
      </c>
      <c r="O363" s="357">
        <v>16937320</v>
      </c>
      <c r="P363" s="357">
        <v>16937320</v>
      </c>
      <c r="Q363" s="357">
        <v>16937320</v>
      </c>
      <c r="R363" s="357">
        <v>16937320.3136</v>
      </c>
      <c r="S363" s="357">
        <v>16937320</v>
      </c>
      <c r="T363" s="357">
        <v>16937320</v>
      </c>
      <c r="U363" s="357">
        <v>16937320</v>
      </c>
      <c r="X363" s="500"/>
    </row>
    <row r="364" spans="1:24">
      <c r="A364" s="349">
        <v>335</v>
      </c>
      <c r="B364" s="353" t="s">
        <v>311</v>
      </c>
      <c r="C364" s="349" t="s">
        <v>365</v>
      </c>
      <c r="D364" s="357">
        <v>509675</v>
      </c>
      <c r="E364" s="357">
        <v>508204</v>
      </c>
      <c r="F364" s="357">
        <v>503767</v>
      </c>
      <c r="G364" s="357">
        <v>498005</v>
      </c>
      <c r="H364" s="357">
        <v>504421</v>
      </c>
      <c r="I364" s="357">
        <v>504051</v>
      </c>
      <c r="J364" s="357">
        <v>505472.45439999999</v>
      </c>
      <c r="K364" s="357">
        <v>505472.45439999999</v>
      </c>
      <c r="L364" s="357">
        <v>505472</v>
      </c>
      <c r="M364" s="357">
        <v>505472</v>
      </c>
      <c r="N364" s="357">
        <v>473529</v>
      </c>
      <c r="O364" s="357">
        <v>1346195</v>
      </c>
      <c r="P364" s="357">
        <v>1346195</v>
      </c>
      <c r="Q364" s="357">
        <v>1346195</v>
      </c>
      <c r="R364" s="357">
        <v>1346195.1856</v>
      </c>
      <c r="S364" s="357">
        <v>1346195</v>
      </c>
      <c r="T364" s="357">
        <v>1346195</v>
      </c>
      <c r="U364" s="357">
        <v>1346195</v>
      </c>
      <c r="X364" s="500"/>
    </row>
    <row r="365" spans="1:24">
      <c r="A365" s="349">
        <v>336</v>
      </c>
      <c r="B365" s="353" t="s">
        <v>312</v>
      </c>
      <c r="C365" s="349" t="s">
        <v>365</v>
      </c>
      <c r="D365" s="357">
        <v>550382</v>
      </c>
      <c r="E365" s="357">
        <v>549406</v>
      </c>
      <c r="F365" s="357">
        <v>545574</v>
      </c>
      <c r="G365" s="357">
        <v>538230</v>
      </c>
      <c r="H365" s="357">
        <v>542360</v>
      </c>
      <c r="I365" s="357">
        <v>542100</v>
      </c>
      <c r="J365" s="357">
        <v>542409.09439999994</v>
      </c>
      <c r="K365" s="357">
        <v>542409.09439999994</v>
      </c>
      <c r="L365" s="357">
        <v>542409</v>
      </c>
      <c r="M365" s="357">
        <v>542409</v>
      </c>
      <c r="N365" s="357">
        <v>518230</v>
      </c>
      <c r="O365" s="357">
        <v>1409314</v>
      </c>
      <c r="P365" s="357">
        <v>1409314</v>
      </c>
      <c r="Q365" s="357">
        <v>1409314</v>
      </c>
      <c r="R365" s="357">
        <v>1409314.2208</v>
      </c>
      <c r="S365" s="357">
        <v>1409314</v>
      </c>
      <c r="T365" s="357">
        <v>1409314</v>
      </c>
      <c r="U365" s="357">
        <v>1409314</v>
      </c>
      <c r="X365" s="500"/>
    </row>
    <row r="366" spans="1:24">
      <c r="A366" s="349">
        <v>337</v>
      </c>
      <c r="B366" s="353" t="s">
        <v>313</v>
      </c>
      <c r="C366" s="349" t="s">
        <v>365</v>
      </c>
      <c r="D366" s="357">
        <v>933547</v>
      </c>
      <c r="E366" s="357">
        <v>930927</v>
      </c>
      <c r="F366" s="357">
        <v>921136</v>
      </c>
      <c r="G366" s="357">
        <v>912471</v>
      </c>
      <c r="H366" s="357">
        <v>925994</v>
      </c>
      <c r="I366" s="357">
        <v>920691</v>
      </c>
      <c r="J366" s="357">
        <v>924572.18240000005</v>
      </c>
      <c r="K366" s="357">
        <v>924572.18240000005</v>
      </c>
      <c r="L366" s="357">
        <v>924572</v>
      </c>
      <c r="M366" s="357">
        <v>924572</v>
      </c>
      <c r="N366" s="357">
        <v>895275</v>
      </c>
      <c r="O366" s="357">
        <v>2391406</v>
      </c>
      <c r="P366" s="357">
        <v>2391406</v>
      </c>
      <c r="Q366" s="357">
        <v>2391406</v>
      </c>
      <c r="R366" s="357">
        <v>2391405.9312</v>
      </c>
      <c r="S366" s="357">
        <v>2391406</v>
      </c>
      <c r="T366" s="357">
        <v>2391406</v>
      </c>
      <c r="U366" s="357">
        <v>2391406</v>
      </c>
      <c r="X366" s="500"/>
    </row>
    <row r="367" spans="1:24">
      <c r="A367" s="349">
        <v>338</v>
      </c>
      <c r="B367" s="353" t="s">
        <v>314</v>
      </c>
      <c r="C367" s="349" t="s">
        <v>365</v>
      </c>
      <c r="D367" s="357">
        <v>1225927</v>
      </c>
      <c r="E367" s="357">
        <v>1226818</v>
      </c>
      <c r="F367" s="357">
        <v>1220006</v>
      </c>
      <c r="G367" s="357">
        <v>1209844</v>
      </c>
      <c r="H367" s="357">
        <v>1215964</v>
      </c>
      <c r="I367" s="357">
        <v>1221489</v>
      </c>
      <c r="J367" s="357">
        <v>1213986.0560000001</v>
      </c>
      <c r="K367" s="357">
        <v>1213986.0560000001</v>
      </c>
      <c r="L367" s="357">
        <v>1213986</v>
      </c>
      <c r="M367" s="357">
        <v>1213986</v>
      </c>
      <c r="N367" s="357">
        <v>1169991</v>
      </c>
      <c r="O367" s="357">
        <v>3057902</v>
      </c>
      <c r="P367" s="357">
        <v>3057902</v>
      </c>
      <c r="Q367" s="357">
        <v>3057902</v>
      </c>
      <c r="R367" s="357">
        <v>3057902.4655999998</v>
      </c>
      <c r="S367" s="357">
        <v>3057902</v>
      </c>
      <c r="T367" s="357">
        <v>3057902</v>
      </c>
      <c r="U367" s="357">
        <v>3057902</v>
      </c>
      <c r="X367" s="500"/>
    </row>
    <row r="368" spans="1:24">
      <c r="A368" s="349">
        <v>339</v>
      </c>
      <c r="B368" s="353" t="s">
        <v>315</v>
      </c>
      <c r="C368" s="349" t="s">
        <v>365</v>
      </c>
      <c r="D368" s="357">
        <v>1301359</v>
      </c>
      <c r="E368" s="357">
        <v>1295710</v>
      </c>
      <c r="F368" s="357">
        <v>1287662</v>
      </c>
      <c r="G368" s="357">
        <v>1278997</v>
      </c>
      <c r="H368" s="357">
        <v>1286512</v>
      </c>
      <c r="I368" s="357">
        <v>1285783</v>
      </c>
      <c r="J368" s="357">
        <v>1288193.7327999999</v>
      </c>
      <c r="K368" s="357">
        <v>1288193.7327999999</v>
      </c>
      <c r="L368" s="357">
        <v>1288194</v>
      </c>
      <c r="M368" s="357">
        <v>1288194</v>
      </c>
      <c r="N368" s="357">
        <v>1212329</v>
      </c>
      <c r="O368" s="357">
        <v>3239287</v>
      </c>
      <c r="P368" s="357">
        <v>3239287</v>
      </c>
      <c r="Q368" s="357">
        <v>3239287</v>
      </c>
      <c r="R368" s="357">
        <v>3239286.5024000001</v>
      </c>
      <c r="S368" s="357">
        <v>3239287</v>
      </c>
      <c r="T368" s="357">
        <v>3239287</v>
      </c>
      <c r="U368" s="357">
        <v>3239287</v>
      </c>
      <c r="X368" s="500"/>
    </row>
    <row r="369" spans="1:24">
      <c r="A369" s="349">
        <v>340</v>
      </c>
      <c r="B369" s="353" t="s">
        <v>316</v>
      </c>
      <c r="C369" s="349" t="s">
        <v>365</v>
      </c>
      <c r="D369" s="357">
        <v>1317232</v>
      </c>
      <c r="E369" s="357">
        <v>1321459</v>
      </c>
      <c r="F369" s="357">
        <v>1304214</v>
      </c>
      <c r="G369" s="357">
        <v>1292569</v>
      </c>
      <c r="H369" s="357">
        <v>1306439</v>
      </c>
      <c r="I369" s="357">
        <v>1306748</v>
      </c>
      <c r="J369" s="357">
        <v>1307490.3951999999</v>
      </c>
      <c r="K369" s="357">
        <v>1307490.3951999999</v>
      </c>
      <c r="L369" s="357">
        <v>1307490</v>
      </c>
      <c r="M369" s="357">
        <v>1307490</v>
      </c>
      <c r="N369" s="357">
        <v>1267487</v>
      </c>
      <c r="O369" s="357">
        <v>3068991</v>
      </c>
      <c r="P369" s="357">
        <v>3068991</v>
      </c>
      <c r="Q369" s="357">
        <v>3068991</v>
      </c>
      <c r="R369" s="357">
        <v>3068991.1072</v>
      </c>
      <c r="S369" s="357">
        <v>3068991</v>
      </c>
      <c r="T369" s="357">
        <v>3068991</v>
      </c>
      <c r="U369" s="357">
        <v>3068991</v>
      </c>
      <c r="X369" s="500"/>
    </row>
    <row r="370" spans="1:24">
      <c r="A370" s="349">
        <v>341</v>
      </c>
      <c r="B370" s="353" t="s">
        <v>317</v>
      </c>
      <c r="C370" s="349" t="s">
        <v>365</v>
      </c>
      <c r="D370" s="357">
        <v>91538</v>
      </c>
      <c r="E370" s="357">
        <v>91303</v>
      </c>
      <c r="F370" s="357">
        <v>90451</v>
      </c>
      <c r="G370" s="357">
        <v>89734</v>
      </c>
      <c r="H370" s="357">
        <v>90896</v>
      </c>
      <c r="I370" s="357">
        <v>90500</v>
      </c>
      <c r="J370" s="357">
        <v>90710.049599999998</v>
      </c>
      <c r="K370" s="357">
        <v>90710.049599999998</v>
      </c>
      <c r="L370" s="357">
        <v>90710</v>
      </c>
      <c r="M370" s="357">
        <v>90710</v>
      </c>
      <c r="N370" s="357">
        <v>85358</v>
      </c>
      <c r="O370" s="357">
        <v>343953</v>
      </c>
      <c r="P370" s="357">
        <v>343953</v>
      </c>
      <c r="Q370" s="357">
        <v>343953</v>
      </c>
      <c r="R370" s="357">
        <v>343953.33600000001</v>
      </c>
      <c r="S370" s="357">
        <v>343953</v>
      </c>
      <c r="T370" s="357">
        <v>343953</v>
      </c>
      <c r="U370" s="357">
        <v>343953</v>
      </c>
      <c r="X370" s="500"/>
    </row>
    <row r="371" spans="1:24">
      <c r="A371" s="349">
        <v>342</v>
      </c>
      <c r="B371" s="353" t="s">
        <v>318</v>
      </c>
      <c r="C371" s="349" t="s">
        <v>365</v>
      </c>
      <c r="D371" s="357">
        <v>90018</v>
      </c>
      <c r="E371" s="357">
        <v>89993</v>
      </c>
      <c r="F371" s="357">
        <v>89264</v>
      </c>
      <c r="G371" s="357">
        <v>88696</v>
      </c>
      <c r="H371" s="357">
        <v>89104</v>
      </c>
      <c r="I371" s="357">
        <v>88955</v>
      </c>
      <c r="J371" s="357">
        <v>89004.188800000004</v>
      </c>
      <c r="K371" s="357">
        <v>89004.188800000004</v>
      </c>
      <c r="L371" s="357">
        <v>89004</v>
      </c>
      <c r="M371" s="357">
        <v>89004</v>
      </c>
      <c r="N371" s="357">
        <v>85543</v>
      </c>
      <c r="O371" s="357">
        <v>350271</v>
      </c>
      <c r="P371" s="357">
        <v>350271</v>
      </c>
      <c r="Q371" s="357">
        <v>350271</v>
      </c>
      <c r="R371" s="357">
        <v>350270.81280000001</v>
      </c>
      <c r="S371" s="357">
        <v>350271</v>
      </c>
      <c r="T371" s="357">
        <v>350271</v>
      </c>
      <c r="U371" s="357">
        <v>350271</v>
      </c>
      <c r="X371" s="500"/>
    </row>
    <row r="372" spans="1:24">
      <c r="A372" s="349">
        <v>343</v>
      </c>
      <c r="B372" s="353" t="s">
        <v>319</v>
      </c>
      <c r="C372" s="349" t="s">
        <v>365</v>
      </c>
      <c r="D372" s="357">
        <v>33748</v>
      </c>
      <c r="E372" s="357">
        <v>33946</v>
      </c>
      <c r="F372" s="357">
        <v>33662</v>
      </c>
      <c r="G372" s="357">
        <v>33315</v>
      </c>
      <c r="H372" s="357">
        <v>33562</v>
      </c>
      <c r="I372" s="357">
        <v>33636</v>
      </c>
      <c r="J372" s="357">
        <v>33587.207999999999</v>
      </c>
      <c r="K372" s="357">
        <v>33587.207999999999</v>
      </c>
      <c r="L372" s="357">
        <v>33587</v>
      </c>
      <c r="M372" s="357">
        <v>33587</v>
      </c>
      <c r="N372" s="357">
        <v>32165</v>
      </c>
      <c r="O372" s="357">
        <v>124569</v>
      </c>
      <c r="P372" s="357">
        <v>124569</v>
      </c>
      <c r="Q372" s="357">
        <v>124569</v>
      </c>
      <c r="R372" s="357">
        <v>124569.3648</v>
      </c>
      <c r="S372" s="357">
        <v>124569</v>
      </c>
      <c r="T372" s="357">
        <v>124569</v>
      </c>
      <c r="U372" s="357">
        <v>124569</v>
      </c>
      <c r="X372" s="500"/>
    </row>
    <row r="373" spans="1:24">
      <c r="A373" s="349">
        <v>344</v>
      </c>
      <c r="B373" s="353" t="s">
        <v>320</v>
      </c>
      <c r="C373" s="349" t="s">
        <v>365</v>
      </c>
      <c r="D373" s="357">
        <v>24130</v>
      </c>
      <c r="E373" s="357">
        <v>24230</v>
      </c>
      <c r="F373" s="357">
        <v>24007</v>
      </c>
      <c r="G373" s="357">
        <v>23709</v>
      </c>
      <c r="H373" s="357">
        <v>23920</v>
      </c>
      <c r="I373" s="357">
        <v>24044</v>
      </c>
      <c r="J373" s="357">
        <v>23883.144</v>
      </c>
      <c r="K373" s="357">
        <v>23883.144</v>
      </c>
      <c r="L373" s="357">
        <v>23883</v>
      </c>
      <c r="M373" s="357">
        <v>23883</v>
      </c>
      <c r="N373" s="357">
        <v>22634</v>
      </c>
      <c r="O373" s="357">
        <v>88806</v>
      </c>
      <c r="P373" s="357">
        <v>88806</v>
      </c>
      <c r="Q373" s="357">
        <v>88806</v>
      </c>
      <c r="R373" s="357">
        <v>88806.391999999993</v>
      </c>
      <c r="S373" s="357">
        <v>88806</v>
      </c>
      <c r="T373" s="357">
        <v>88806</v>
      </c>
      <c r="U373" s="357">
        <v>88806</v>
      </c>
      <c r="X373" s="500"/>
    </row>
    <row r="374" spans="1:24">
      <c r="A374" s="349">
        <v>345</v>
      </c>
      <c r="B374" s="353" t="s">
        <v>321</v>
      </c>
      <c r="C374" s="349" t="s">
        <v>365</v>
      </c>
      <c r="D374" s="357">
        <v>90265</v>
      </c>
      <c r="E374" s="357">
        <v>90204</v>
      </c>
      <c r="F374" s="357">
        <v>89511</v>
      </c>
      <c r="G374" s="357">
        <v>88312</v>
      </c>
      <c r="H374" s="357">
        <v>88955</v>
      </c>
      <c r="I374" s="357">
        <v>89252</v>
      </c>
      <c r="J374" s="357">
        <v>89189.964800000002</v>
      </c>
      <c r="K374" s="357">
        <v>89189.964800000002</v>
      </c>
      <c r="L374" s="357">
        <v>89190</v>
      </c>
      <c r="M374" s="357">
        <v>89190</v>
      </c>
      <c r="N374" s="357">
        <v>86495</v>
      </c>
      <c r="O374" s="357">
        <v>358763</v>
      </c>
      <c r="P374" s="357">
        <v>358763</v>
      </c>
      <c r="Q374" s="357">
        <v>358763</v>
      </c>
      <c r="R374" s="357">
        <v>358762.96159999998</v>
      </c>
      <c r="S374" s="357">
        <v>358763</v>
      </c>
      <c r="T374" s="357">
        <v>358763</v>
      </c>
      <c r="U374" s="357">
        <v>358763</v>
      </c>
      <c r="X374" s="500"/>
    </row>
    <row r="375" spans="1:24">
      <c r="A375" s="349">
        <v>346</v>
      </c>
      <c r="B375" s="353" t="s">
        <v>322</v>
      </c>
      <c r="C375" s="349" t="s">
        <v>365</v>
      </c>
      <c r="D375" s="357">
        <v>119587</v>
      </c>
      <c r="E375" s="357">
        <v>120194</v>
      </c>
      <c r="F375" s="357">
        <v>118846</v>
      </c>
      <c r="G375" s="357">
        <v>117993</v>
      </c>
      <c r="H375" s="357">
        <v>119278</v>
      </c>
      <c r="I375" s="357">
        <v>118796</v>
      </c>
      <c r="J375" s="357">
        <v>119191.696</v>
      </c>
      <c r="K375" s="357">
        <v>119191.696</v>
      </c>
      <c r="L375" s="357">
        <v>119192</v>
      </c>
      <c r="M375" s="357">
        <v>119192</v>
      </c>
      <c r="N375" s="357">
        <v>114000</v>
      </c>
      <c r="O375" s="357">
        <v>462281</v>
      </c>
      <c r="P375" s="357">
        <v>462281</v>
      </c>
      <c r="Q375" s="357">
        <v>462281</v>
      </c>
      <c r="R375" s="357">
        <v>462280.62719999999</v>
      </c>
      <c r="S375" s="357">
        <v>462281</v>
      </c>
      <c r="T375" s="357">
        <v>462281</v>
      </c>
      <c r="U375" s="357">
        <v>462281</v>
      </c>
      <c r="X375" s="500"/>
    </row>
    <row r="376" spans="1:24">
      <c r="A376" s="349">
        <v>347</v>
      </c>
      <c r="B376" s="353" t="s">
        <v>323</v>
      </c>
      <c r="C376" s="349" t="s">
        <v>365</v>
      </c>
      <c r="D376" s="357">
        <v>126016</v>
      </c>
      <c r="E376" s="357">
        <v>125868</v>
      </c>
      <c r="F376" s="357">
        <v>125311</v>
      </c>
      <c r="G376" s="357">
        <v>124297</v>
      </c>
      <c r="H376" s="357">
        <v>125151</v>
      </c>
      <c r="I376" s="357">
        <v>125014</v>
      </c>
      <c r="J376" s="357">
        <v>124420.74400000001</v>
      </c>
      <c r="K376" s="357">
        <v>124420.74400000001</v>
      </c>
      <c r="L376" s="357">
        <v>124421</v>
      </c>
      <c r="M376" s="357">
        <v>124421</v>
      </c>
      <c r="N376" s="357">
        <v>118314</v>
      </c>
      <c r="O376" s="357">
        <v>459042</v>
      </c>
      <c r="P376" s="357">
        <v>459042</v>
      </c>
      <c r="Q376" s="357">
        <v>459042</v>
      </c>
      <c r="R376" s="357">
        <v>459041.56799999997</v>
      </c>
      <c r="S376" s="357">
        <v>459042</v>
      </c>
      <c r="T376" s="357">
        <v>459042</v>
      </c>
      <c r="U376" s="357">
        <v>459042</v>
      </c>
      <c r="X376" s="500"/>
    </row>
    <row r="377" spans="1:24">
      <c r="A377" s="349">
        <v>348</v>
      </c>
      <c r="B377" s="353" t="s">
        <v>324</v>
      </c>
      <c r="C377" s="349" t="s">
        <v>365</v>
      </c>
      <c r="D377" s="357">
        <v>126312</v>
      </c>
      <c r="E377" s="357">
        <v>125472</v>
      </c>
      <c r="F377" s="357">
        <v>125151</v>
      </c>
      <c r="G377" s="357">
        <v>123519</v>
      </c>
      <c r="H377" s="357">
        <v>125163</v>
      </c>
      <c r="I377" s="357">
        <v>125088</v>
      </c>
      <c r="J377" s="357">
        <v>125187.88959999999</v>
      </c>
      <c r="K377" s="357">
        <v>125187.88959999999</v>
      </c>
      <c r="L377" s="357">
        <v>125188</v>
      </c>
      <c r="M377" s="357">
        <v>125188</v>
      </c>
      <c r="N377" s="357">
        <v>120750</v>
      </c>
      <c r="O377" s="357">
        <v>498414</v>
      </c>
      <c r="P377" s="357">
        <v>498414</v>
      </c>
      <c r="Q377" s="357">
        <v>498414</v>
      </c>
      <c r="R377" s="357">
        <v>498414.05920000002</v>
      </c>
      <c r="S377" s="357">
        <v>498414</v>
      </c>
      <c r="T377" s="357">
        <v>498414</v>
      </c>
      <c r="U377" s="357">
        <v>498414</v>
      </c>
      <c r="X377" s="500"/>
    </row>
    <row r="378" spans="1:24">
      <c r="A378" s="349">
        <v>349</v>
      </c>
      <c r="B378" s="353" t="s">
        <v>325</v>
      </c>
      <c r="C378" s="349" t="s">
        <v>365</v>
      </c>
      <c r="D378" s="357">
        <v>61537</v>
      </c>
      <c r="E378" s="357">
        <v>61364</v>
      </c>
      <c r="F378" s="357">
        <v>60943</v>
      </c>
      <c r="G378" s="357">
        <v>60684</v>
      </c>
      <c r="H378" s="357">
        <v>61030</v>
      </c>
      <c r="I378" s="357">
        <v>61190</v>
      </c>
      <c r="J378" s="357">
        <v>61079.8704</v>
      </c>
      <c r="K378" s="357">
        <v>61079.8704</v>
      </c>
      <c r="L378" s="357">
        <v>61080</v>
      </c>
      <c r="M378" s="357">
        <v>61080</v>
      </c>
      <c r="N378" s="357">
        <v>58348</v>
      </c>
      <c r="O378" s="357">
        <v>231276</v>
      </c>
      <c r="P378" s="357">
        <v>231276</v>
      </c>
      <c r="Q378" s="357">
        <v>231276</v>
      </c>
      <c r="R378" s="357">
        <v>231275.82079999999</v>
      </c>
      <c r="S378" s="357">
        <v>231276</v>
      </c>
      <c r="T378" s="357">
        <v>231276</v>
      </c>
      <c r="U378" s="357">
        <v>231276</v>
      </c>
      <c r="X378" s="500"/>
    </row>
    <row r="379" spans="1:24">
      <c r="A379" s="349">
        <v>350</v>
      </c>
      <c r="B379" s="353" t="s">
        <v>326</v>
      </c>
      <c r="C379" s="349" t="s">
        <v>365</v>
      </c>
      <c r="D379" s="357">
        <v>85271</v>
      </c>
      <c r="E379" s="357">
        <v>84715</v>
      </c>
      <c r="F379" s="357">
        <v>84344</v>
      </c>
      <c r="G379" s="357">
        <v>83863</v>
      </c>
      <c r="H379" s="357">
        <v>84233</v>
      </c>
      <c r="I379" s="357">
        <v>84617</v>
      </c>
      <c r="J379" s="357">
        <v>84170.734400000001</v>
      </c>
      <c r="K379" s="357">
        <v>84170.734400000001</v>
      </c>
      <c r="L379" s="357">
        <v>84171</v>
      </c>
      <c r="M379" s="357">
        <v>84171</v>
      </c>
      <c r="N379" s="357">
        <v>79511</v>
      </c>
      <c r="O379" s="357">
        <v>336004</v>
      </c>
      <c r="P379" s="357">
        <v>336004</v>
      </c>
      <c r="Q379" s="357">
        <v>336004</v>
      </c>
      <c r="R379" s="357">
        <v>336004.3088</v>
      </c>
      <c r="S379" s="357">
        <v>336004</v>
      </c>
      <c r="T379" s="357">
        <v>336004</v>
      </c>
      <c r="U379" s="357">
        <v>336004</v>
      </c>
      <c r="X379" s="500"/>
    </row>
    <row r="380" spans="1:24">
      <c r="A380" s="349">
        <v>351</v>
      </c>
      <c r="B380" s="353" t="s">
        <v>327</v>
      </c>
      <c r="C380" s="349" t="s">
        <v>365</v>
      </c>
      <c r="D380" s="357">
        <v>220633</v>
      </c>
      <c r="E380" s="357">
        <v>220719</v>
      </c>
      <c r="F380" s="357">
        <v>217690</v>
      </c>
      <c r="G380" s="357">
        <v>215849</v>
      </c>
      <c r="H380" s="357">
        <v>219323</v>
      </c>
      <c r="I380" s="357">
        <v>218679</v>
      </c>
      <c r="J380" s="357">
        <v>219198.19519999999</v>
      </c>
      <c r="K380" s="357">
        <v>219198.19519999999</v>
      </c>
      <c r="L380" s="357">
        <v>219198</v>
      </c>
      <c r="M380" s="357">
        <v>219198</v>
      </c>
      <c r="N380" s="357">
        <v>210929</v>
      </c>
      <c r="O380" s="357">
        <v>805071</v>
      </c>
      <c r="P380" s="357">
        <v>805071</v>
      </c>
      <c r="Q380" s="357">
        <v>805071</v>
      </c>
      <c r="R380" s="357">
        <v>805071.22400000005</v>
      </c>
      <c r="S380" s="357">
        <v>805071</v>
      </c>
      <c r="T380" s="357">
        <v>805071</v>
      </c>
      <c r="U380" s="357">
        <v>805071</v>
      </c>
      <c r="X380" s="500"/>
    </row>
    <row r="381" spans="1:24">
      <c r="A381" s="349">
        <v>352</v>
      </c>
      <c r="B381" s="353" t="s">
        <v>328</v>
      </c>
      <c r="C381" s="349" t="s">
        <v>365</v>
      </c>
      <c r="D381" s="357">
        <v>155474</v>
      </c>
      <c r="E381" s="357">
        <v>155362</v>
      </c>
      <c r="F381" s="357">
        <v>154448</v>
      </c>
      <c r="G381" s="357">
        <v>152940</v>
      </c>
      <c r="H381" s="357">
        <v>154410</v>
      </c>
      <c r="I381" s="357">
        <v>154460</v>
      </c>
      <c r="J381" s="357">
        <v>154645.40640000001</v>
      </c>
      <c r="K381" s="357">
        <v>154645.40640000001</v>
      </c>
      <c r="L381" s="357">
        <v>154645</v>
      </c>
      <c r="M381" s="357">
        <v>154645</v>
      </c>
      <c r="N381" s="357">
        <v>148650</v>
      </c>
      <c r="O381" s="357">
        <v>573709</v>
      </c>
      <c r="P381" s="357">
        <v>573709</v>
      </c>
      <c r="Q381" s="357">
        <v>573709</v>
      </c>
      <c r="R381" s="357">
        <v>573709.07200000004</v>
      </c>
      <c r="S381" s="357">
        <v>573709</v>
      </c>
      <c r="T381" s="357">
        <v>573709</v>
      </c>
      <c r="U381" s="357">
        <v>573709</v>
      </c>
      <c r="X381" s="500"/>
    </row>
    <row r="382" spans="1:24">
      <c r="A382" s="349">
        <v>353</v>
      </c>
      <c r="B382" s="353" t="s">
        <v>329</v>
      </c>
      <c r="C382" s="349" t="s">
        <v>365</v>
      </c>
      <c r="D382" s="357">
        <v>96558</v>
      </c>
      <c r="E382" s="357">
        <v>96793</v>
      </c>
      <c r="F382" s="357">
        <v>96064</v>
      </c>
      <c r="G382" s="357">
        <v>94963</v>
      </c>
      <c r="H382" s="357">
        <v>95841</v>
      </c>
      <c r="I382" s="357">
        <v>95778</v>
      </c>
      <c r="J382" s="357">
        <v>95803.590400000001</v>
      </c>
      <c r="K382" s="357">
        <v>95803.590400000001</v>
      </c>
      <c r="L382" s="357">
        <v>95804</v>
      </c>
      <c r="M382" s="357">
        <v>95804</v>
      </c>
      <c r="N382" s="357">
        <v>91303</v>
      </c>
      <c r="O382" s="357">
        <v>384438</v>
      </c>
      <c r="P382" s="357">
        <v>384438</v>
      </c>
      <c r="Q382" s="357">
        <v>384438</v>
      </c>
      <c r="R382" s="357">
        <v>384438.29759999999</v>
      </c>
      <c r="S382" s="357">
        <v>384438</v>
      </c>
      <c r="T382" s="357">
        <v>384438</v>
      </c>
      <c r="U382" s="357">
        <v>384438</v>
      </c>
      <c r="X382" s="500"/>
    </row>
    <row r="383" spans="1:24">
      <c r="A383" s="349">
        <v>354</v>
      </c>
      <c r="B383" s="353" t="s">
        <v>330</v>
      </c>
      <c r="C383" s="349" t="s">
        <v>365</v>
      </c>
      <c r="D383" s="357">
        <v>233612</v>
      </c>
      <c r="E383" s="357">
        <v>234836</v>
      </c>
      <c r="F383" s="357">
        <v>231771</v>
      </c>
      <c r="G383" s="357">
        <v>230498</v>
      </c>
      <c r="H383" s="357">
        <v>231969</v>
      </c>
      <c r="I383" s="357">
        <v>232475</v>
      </c>
      <c r="J383" s="357">
        <v>232438.56</v>
      </c>
      <c r="K383" s="357">
        <v>232438.56</v>
      </c>
      <c r="L383" s="357">
        <v>232439</v>
      </c>
      <c r="M383" s="357">
        <v>232439</v>
      </c>
      <c r="N383" s="357">
        <v>224687</v>
      </c>
      <c r="O383" s="357">
        <v>893372</v>
      </c>
      <c r="P383" s="357">
        <v>893372</v>
      </c>
      <c r="Q383" s="357">
        <v>893372</v>
      </c>
      <c r="R383" s="357">
        <v>893371.6496</v>
      </c>
      <c r="S383" s="357">
        <v>893372</v>
      </c>
      <c r="T383" s="357">
        <v>893372</v>
      </c>
      <c r="U383" s="357">
        <v>893372</v>
      </c>
      <c r="X383" s="500"/>
    </row>
    <row r="384" spans="1:24">
      <c r="A384" s="349">
        <v>355</v>
      </c>
      <c r="B384" s="353" t="s">
        <v>331</v>
      </c>
      <c r="C384" s="349" t="s">
        <v>365</v>
      </c>
      <c r="D384" s="357">
        <v>73046</v>
      </c>
      <c r="E384" s="357">
        <v>73058</v>
      </c>
      <c r="F384" s="357">
        <v>72329</v>
      </c>
      <c r="G384" s="357">
        <v>71958</v>
      </c>
      <c r="H384" s="357">
        <v>72674</v>
      </c>
      <c r="I384" s="357">
        <v>72353</v>
      </c>
      <c r="J384" s="357">
        <v>72390.350399999996</v>
      </c>
      <c r="K384" s="357">
        <v>72390.350399999996</v>
      </c>
      <c r="L384" s="357">
        <v>72390</v>
      </c>
      <c r="M384" s="357">
        <v>72390</v>
      </c>
      <c r="N384" s="357">
        <v>69486</v>
      </c>
      <c r="O384" s="357">
        <v>290415</v>
      </c>
      <c r="P384" s="357">
        <v>290415</v>
      </c>
      <c r="Q384" s="357">
        <v>290415</v>
      </c>
      <c r="R384" s="357">
        <v>290414.87839999999</v>
      </c>
      <c r="S384" s="357">
        <v>290415</v>
      </c>
      <c r="T384" s="357">
        <v>290415</v>
      </c>
      <c r="U384" s="357">
        <v>290415</v>
      </c>
      <c r="X384" s="500"/>
    </row>
    <row r="385" spans="1:24">
      <c r="A385" s="349">
        <v>356</v>
      </c>
      <c r="B385" s="353" t="s">
        <v>332</v>
      </c>
      <c r="C385" s="349" t="s">
        <v>365</v>
      </c>
      <c r="D385" s="357">
        <v>160654</v>
      </c>
      <c r="E385" s="357">
        <v>160777</v>
      </c>
      <c r="F385" s="357">
        <v>159318</v>
      </c>
      <c r="G385" s="357">
        <v>157822</v>
      </c>
      <c r="H385" s="357">
        <v>159207</v>
      </c>
      <c r="I385" s="357">
        <v>158848</v>
      </c>
      <c r="J385" s="357">
        <v>159528.0368</v>
      </c>
      <c r="K385" s="357">
        <v>159528.0368</v>
      </c>
      <c r="L385" s="357">
        <v>159528</v>
      </c>
      <c r="M385" s="357">
        <v>159528</v>
      </c>
      <c r="N385" s="357">
        <v>153582</v>
      </c>
      <c r="O385" s="357">
        <v>622032</v>
      </c>
      <c r="P385" s="357">
        <v>622032</v>
      </c>
      <c r="Q385" s="357">
        <v>622032</v>
      </c>
      <c r="R385" s="357">
        <v>622031.59519999998</v>
      </c>
      <c r="S385" s="357">
        <v>622032</v>
      </c>
      <c r="T385" s="357">
        <v>622032</v>
      </c>
      <c r="U385" s="357">
        <v>622032</v>
      </c>
      <c r="X385" s="500"/>
    </row>
    <row r="386" spans="1:24">
      <c r="A386" s="349">
        <v>357</v>
      </c>
      <c r="B386" s="353" t="s">
        <v>333</v>
      </c>
      <c r="C386" s="349" t="s">
        <v>365</v>
      </c>
      <c r="D386" s="357">
        <v>163373</v>
      </c>
      <c r="E386" s="357">
        <v>162434</v>
      </c>
      <c r="F386" s="357">
        <v>161110</v>
      </c>
      <c r="G386" s="357">
        <v>160209</v>
      </c>
      <c r="H386" s="357">
        <v>161902</v>
      </c>
      <c r="I386" s="357">
        <v>161049</v>
      </c>
      <c r="J386" s="357">
        <v>162087.3744</v>
      </c>
      <c r="K386" s="357">
        <v>162087.3744</v>
      </c>
      <c r="L386" s="357">
        <v>162087</v>
      </c>
      <c r="M386" s="357">
        <v>162087</v>
      </c>
      <c r="N386" s="357">
        <v>156512</v>
      </c>
      <c r="O386" s="357">
        <v>613736</v>
      </c>
      <c r="P386" s="357">
        <v>613736</v>
      </c>
      <c r="Q386" s="357">
        <v>613736</v>
      </c>
      <c r="R386" s="357">
        <v>613736.15040000004</v>
      </c>
      <c r="S386" s="357">
        <v>613736</v>
      </c>
      <c r="T386" s="357">
        <v>613736</v>
      </c>
      <c r="U386" s="357">
        <v>613736</v>
      </c>
      <c r="X386" s="500"/>
    </row>
    <row r="387" spans="1:24">
      <c r="A387" s="349">
        <v>358</v>
      </c>
      <c r="B387" s="353" t="s">
        <v>334</v>
      </c>
      <c r="C387" s="349" t="s">
        <v>365</v>
      </c>
      <c r="D387" s="357">
        <v>182187</v>
      </c>
      <c r="E387" s="357">
        <v>182348</v>
      </c>
      <c r="F387" s="357">
        <v>181100</v>
      </c>
      <c r="G387" s="357">
        <v>179604</v>
      </c>
      <c r="H387" s="357">
        <v>180321</v>
      </c>
      <c r="I387" s="357">
        <v>181149</v>
      </c>
      <c r="J387" s="357">
        <v>180555.69440000001</v>
      </c>
      <c r="K387" s="357">
        <v>180555.69440000001</v>
      </c>
      <c r="L387" s="357">
        <v>180556</v>
      </c>
      <c r="M387" s="357">
        <v>180556</v>
      </c>
      <c r="N387" s="357">
        <v>174894</v>
      </c>
      <c r="O387" s="357">
        <v>674358</v>
      </c>
      <c r="P387" s="357">
        <v>674358</v>
      </c>
      <c r="Q387" s="357">
        <v>674358</v>
      </c>
      <c r="R387" s="357">
        <v>674358.13760000002</v>
      </c>
      <c r="S387" s="357">
        <v>674358</v>
      </c>
      <c r="T387" s="357">
        <v>674358</v>
      </c>
      <c r="U387" s="357">
        <v>674358</v>
      </c>
      <c r="X387" s="500"/>
    </row>
    <row r="388" spans="1:24">
      <c r="A388" s="349">
        <v>359</v>
      </c>
      <c r="B388" s="353" t="s">
        <v>335</v>
      </c>
      <c r="C388" s="349" t="s">
        <v>365</v>
      </c>
      <c r="D388" s="357">
        <v>47111</v>
      </c>
      <c r="E388" s="357">
        <v>47283</v>
      </c>
      <c r="F388" s="357">
        <v>46864</v>
      </c>
      <c r="G388" s="357">
        <v>46455</v>
      </c>
      <c r="H388" s="357">
        <v>46814</v>
      </c>
      <c r="I388" s="357">
        <v>46950</v>
      </c>
      <c r="J388" s="357">
        <v>46975.1008</v>
      </c>
      <c r="K388" s="357">
        <v>46975.1008</v>
      </c>
      <c r="L388" s="357">
        <v>46975</v>
      </c>
      <c r="M388" s="357">
        <v>46975</v>
      </c>
      <c r="N388" s="357">
        <v>45071</v>
      </c>
      <c r="O388" s="357">
        <v>184412</v>
      </c>
      <c r="P388" s="357">
        <v>184412</v>
      </c>
      <c r="Q388" s="357">
        <v>184412</v>
      </c>
      <c r="R388" s="357">
        <v>184412.1856</v>
      </c>
      <c r="S388" s="357">
        <v>184412</v>
      </c>
      <c r="T388" s="357">
        <v>184412</v>
      </c>
      <c r="U388" s="357">
        <v>184412</v>
      </c>
      <c r="X388" s="500"/>
    </row>
    <row r="389" spans="1:24">
      <c r="A389" s="349">
        <v>360</v>
      </c>
      <c r="B389" s="353" t="s">
        <v>336</v>
      </c>
      <c r="C389" s="349" t="s">
        <v>365</v>
      </c>
      <c r="D389" s="357">
        <v>145695</v>
      </c>
      <c r="E389" s="357">
        <v>145906</v>
      </c>
      <c r="F389" s="357">
        <v>144855</v>
      </c>
      <c r="G389" s="357">
        <v>144064</v>
      </c>
      <c r="H389" s="357">
        <v>144966</v>
      </c>
      <c r="I389" s="357">
        <v>145337</v>
      </c>
      <c r="J389" s="357">
        <v>144829.8768</v>
      </c>
      <c r="K389" s="357">
        <v>144829.8768</v>
      </c>
      <c r="L389" s="357">
        <v>144830</v>
      </c>
      <c r="M389" s="357">
        <v>144830</v>
      </c>
      <c r="N389" s="357">
        <v>137512</v>
      </c>
      <c r="O389" s="357">
        <v>551173</v>
      </c>
      <c r="P389" s="357">
        <v>551173</v>
      </c>
      <c r="Q389" s="357">
        <v>551173</v>
      </c>
      <c r="R389" s="357">
        <v>551173.3504</v>
      </c>
      <c r="S389" s="357">
        <v>551173</v>
      </c>
      <c r="T389" s="357">
        <v>551173</v>
      </c>
      <c r="U389" s="357">
        <v>551173</v>
      </c>
      <c r="X389" s="500"/>
    </row>
    <row r="390" spans="1:24">
      <c r="A390" s="349">
        <v>361</v>
      </c>
      <c r="B390" s="353" t="s">
        <v>337</v>
      </c>
      <c r="C390" s="349" t="s">
        <v>365</v>
      </c>
      <c r="D390" s="357">
        <v>3397418</v>
      </c>
      <c r="E390" s="357">
        <v>3401807</v>
      </c>
      <c r="F390" s="357">
        <v>3383177</v>
      </c>
      <c r="G390" s="357">
        <v>3355239</v>
      </c>
      <c r="H390" s="357">
        <v>3377428</v>
      </c>
      <c r="I390" s="357">
        <v>3396045</v>
      </c>
      <c r="J390" s="357">
        <v>3374140.2080000001</v>
      </c>
      <c r="K390" s="357">
        <v>3374140.2080000001</v>
      </c>
      <c r="L390" s="357">
        <v>3374140</v>
      </c>
      <c r="M390" s="357">
        <v>3374140</v>
      </c>
      <c r="N390" s="357">
        <v>3213055</v>
      </c>
      <c r="O390" s="357">
        <v>7396420</v>
      </c>
      <c r="P390" s="357">
        <v>7396420</v>
      </c>
      <c r="Q390" s="357">
        <v>7396420</v>
      </c>
      <c r="R390" s="357">
        <v>7396420.0959999999</v>
      </c>
      <c r="S390" s="357">
        <v>7396420</v>
      </c>
      <c r="T390" s="357">
        <v>7396420</v>
      </c>
      <c r="U390" s="357">
        <v>7396420</v>
      </c>
      <c r="X390" s="500"/>
    </row>
    <row r="391" spans="1:24">
      <c r="A391" s="349">
        <v>362</v>
      </c>
      <c r="B391" s="353" t="s">
        <v>338</v>
      </c>
      <c r="C391" s="349" t="s">
        <v>365</v>
      </c>
      <c r="D391" s="357">
        <v>2020974</v>
      </c>
      <c r="E391" s="357">
        <v>2034979</v>
      </c>
      <c r="F391" s="357">
        <v>2008748</v>
      </c>
      <c r="G391" s="357">
        <v>1990663</v>
      </c>
      <c r="H391" s="357">
        <v>2017389</v>
      </c>
      <c r="I391" s="357">
        <v>2015596</v>
      </c>
      <c r="J391" s="357">
        <v>2019503.1424</v>
      </c>
      <c r="K391" s="357">
        <v>2019503.1424</v>
      </c>
      <c r="L391" s="357">
        <v>2019503</v>
      </c>
      <c r="M391" s="357">
        <v>2019503</v>
      </c>
      <c r="N391" s="357">
        <v>1931178</v>
      </c>
      <c r="O391" s="357">
        <v>5052013</v>
      </c>
      <c r="P391" s="357">
        <v>5052013</v>
      </c>
      <c r="Q391" s="357">
        <v>5052013</v>
      </c>
      <c r="R391" s="357">
        <v>5052013.3071999997</v>
      </c>
      <c r="S391" s="357">
        <v>5052013</v>
      </c>
      <c r="T391" s="357">
        <v>5052013</v>
      </c>
      <c r="U391" s="357">
        <v>5052013</v>
      </c>
      <c r="X391" s="500"/>
    </row>
    <row r="392" spans="1:24" ht="18">
      <c r="A392" s="349">
        <v>363</v>
      </c>
      <c r="B392" s="353" t="s">
        <v>339</v>
      </c>
      <c r="C392" s="349" t="s">
        <v>366</v>
      </c>
      <c r="D392" s="357">
        <v>69510</v>
      </c>
      <c r="E392" s="357">
        <v>69807</v>
      </c>
      <c r="F392" s="357">
        <v>69102</v>
      </c>
      <c r="G392" s="357">
        <v>68781</v>
      </c>
      <c r="H392" s="357">
        <v>69325</v>
      </c>
      <c r="I392" s="357">
        <v>69374</v>
      </c>
      <c r="J392" s="357">
        <v>68867.163199999995</v>
      </c>
      <c r="K392" s="357">
        <v>68867.163199999995</v>
      </c>
      <c r="L392" s="357">
        <v>68867</v>
      </c>
      <c r="M392" s="357">
        <v>68867</v>
      </c>
      <c r="N392" s="357">
        <v>65851</v>
      </c>
      <c r="O392" s="357">
        <v>275049</v>
      </c>
      <c r="P392" s="357">
        <v>275049</v>
      </c>
      <c r="Q392" s="357">
        <v>275049</v>
      </c>
      <c r="R392" s="357">
        <v>275049.01760000002</v>
      </c>
      <c r="S392" s="357">
        <v>275049</v>
      </c>
      <c r="T392" s="357">
        <v>275049</v>
      </c>
      <c r="U392" s="357">
        <v>275049</v>
      </c>
      <c r="X392" s="500"/>
    </row>
    <row r="393" spans="1:24">
      <c r="A393" s="349">
        <v>364</v>
      </c>
      <c r="B393" s="353" t="s">
        <v>339</v>
      </c>
      <c r="C393" s="349" t="s">
        <v>365</v>
      </c>
      <c r="D393" s="357">
        <v>1350831</v>
      </c>
      <c r="E393" s="357">
        <v>1352129</v>
      </c>
      <c r="F393" s="357">
        <v>1342462</v>
      </c>
      <c r="G393" s="357">
        <v>1326701</v>
      </c>
      <c r="H393" s="357">
        <v>1342573</v>
      </c>
      <c r="I393" s="357">
        <v>1341374</v>
      </c>
      <c r="J393" s="357">
        <v>1344636.8528</v>
      </c>
      <c r="K393" s="357">
        <v>1344636.8528</v>
      </c>
      <c r="L393" s="357">
        <v>1344637</v>
      </c>
      <c r="M393" s="357">
        <v>1344637</v>
      </c>
      <c r="N393" s="357">
        <v>1277587</v>
      </c>
      <c r="O393" s="357">
        <v>3368924</v>
      </c>
      <c r="P393" s="357">
        <v>3368924</v>
      </c>
      <c r="Q393" s="357">
        <v>3368924</v>
      </c>
      <c r="R393" s="357">
        <v>3368924.2736</v>
      </c>
      <c r="S393" s="357">
        <v>3368924</v>
      </c>
      <c r="T393" s="357">
        <v>3368924</v>
      </c>
      <c r="U393" s="357">
        <v>3368924</v>
      </c>
      <c r="X393" s="500"/>
    </row>
    <row r="394" spans="1:24" ht="18">
      <c r="A394" s="349">
        <v>365</v>
      </c>
      <c r="B394" s="353" t="s">
        <v>340</v>
      </c>
      <c r="C394" s="349" t="s">
        <v>366</v>
      </c>
      <c r="D394" s="357">
        <v>72662</v>
      </c>
      <c r="E394" s="357">
        <v>72786</v>
      </c>
      <c r="F394" s="357">
        <v>72193</v>
      </c>
      <c r="G394" s="357">
        <v>71599</v>
      </c>
      <c r="H394" s="357">
        <v>72167</v>
      </c>
      <c r="I394" s="357">
        <v>72118</v>
      </c>
      <c r="J394" s="357">
        <v>71846.135999999999</v>
      </c>
      <c r="K394" s="357">
        <v>71846.135999999999</v>
      </c>
      <c r="L394" s="357">
        <v>71846</v>
      </c>
      <c r="M394" s="357">
        <v>71846</v>
      </c>
      <c r="N394" s="357">
        <v>69930</v>
      </c>
      <c r="O394" s="357">
        <v>285334</v>
      </c>
      <c r="P394" s="357">
        <v>285334</v>
      </c>
      <c r="Q394" s="357">
        <v>285334</v>
      </c>
      <c r="R394" s="357">
        <v>285334.45120000001</v>
      </c>
      <c r="S394" s="357">
        <v>285334</v>
      </c>
      <c r="T394" s="357">
        <v>285334</v>
      </c>
      <c r="U394" s="357">
        <v>285334</v>
      </c>
      <c r="X394" s="500"/>
    </row>
    <row r="395" spans="1:24">
      <c r="A395" s="349">
        <v>366</v>
      </c>
      <c r="B395" s="353" t="s">
        <v>340</v>
      </c>
      <c r="C395" s="349" t="s">
        <v>365</v>
      </c>
      <c r="D395" s="357">
        <v>1499221</v>
      </c>
      <c r="E395" s="357">
        <v>1495735</v>
      </c>
      <c r="F395" s="357">
        <v>1491162</v>
      </c>
      <c r="G395" s="357">
        <v>1477316</v>
      </c>
      <c r="H395" s="357">
        <v>1487911</v>
      </c>
      <c r="I395" s="357">
        <v>1488874</v>
      </c>
      <c r="J395" s="357">
        <v>1481283.8432</v>
      </c>
      <c r="K395" s="357">
        <v>1481283.8432</v>
      </c>
      <c r="L395" s="357">
        <v>1481284</v>
      </c>
      <c r="M395" s="357">
        <v>1481284</v>
      </c>
      <c r="N395" s="357">
        <v>1416756</v>
      </c>
      <c r="O395" s="357">
        <v>3491330</v>
      </c>
      <c r="P395" s="357">
        <v>3491330</v>
      </c>
      <c r="Q395" s="357">
        <v>3491330</v>
      </c>
      <c r="R395" s="357">
        <v>3491329.8944000001</v>
      </c>
      <c r="S395" s="357">
        <v>3491330</v>
      </c>
      <c r="T395" s="357">
        <v>3491330</v>
      </c>
      <c r="U395" s="357">
        <v>3491330</v>
      </c>
      <c r="X395" s="500"/>
    </row>
    <row r="396" spans="1:24" ht="18">
      <c r="A396" s="349">
        <v>367</v>
      </c>
      <c r="B396" s="353" t="s">
        <v>341</v>
      </c>
      <c r="C396" s="349" t="s">
        <v>366</v>
      </c>
      <c r="D396" s="357">
        <v>81464</v>
      </c>
      <c r="E396" s="357">
        <v>81403</v>
      </c>
      <c r="F396" s="357">
        <v>80512</v>
      </c>
      <c r="G396" s="357">
        <v>80240</v>
      </c>
      <c r="H396" s="357">
        <v>80945</v>
      </c>
      <c r="I396" s="357">
        <v>80438</v>
      </c>
      <c r="J396" s="357">
        <v>80376.532800000001</v>
      </c>
      <c r="K396" s="357">
        <v>80376.532800000001</v>
      </c>
      <c r="L396" s="357">
        <v>80377</v>
      </c>
      <c r="M396" s="357">
        <v>80377</v>
      </c>
      <c r="N396" s="357">
        <v>76989</v>
      </c>
      <c r="O396" s="357">
        <v>320132</v>
      </c>
      <c r="P396" s="357">
        <v>320132</v>
      </c>
      <c r="Q396" s="357">
        <v>320132</v>
      </c>
      <c r="R396" s="357">
        <v>320132.4816</v>
      </c>
      <c r="S396" s="357">
        <v>320132</v>
      </c>
      <c r="T396" s="357">
        <v>320132</v>
      </c>
      <c r="U396" s="357">
        <v>320132</v>
      </c>
      <c r="X396" s="500"/>
    </row>
    <row r="397" spans="1:24">
      <c r="A397" s="349">
        <v>368</v>
      </c>
      <c r="B397" s="353" t="s">
        <v>341</v>
      </c>
      <c r="C397" s="349" t="s">
        <v>365</v>
      </c>
      <c r="D397" s="357">
        <v>1582119</v>
      </c>
      <c r="E397" s="357">
        <v>1587608</v>
      </c>
      <c r="F397" s="357">
        <v>1569770</v>
      </c>
      <c r="G397" s="357">
        <v>1559447</v>
      </c>
      <c r="H397" s="357">
        <v>1573329</v>
      </c>
      <c r="I397" s="357">
        <v>1572056</v>
      </c>
      <c r="J397" s="357">
        <v>1578941.9151999999</v>
      </c>
      <c r="K397" s="357">
        <v>1578941.9151999999</v>
      </c>
      <c r="L397" s="357">
        <v>1578942</v>
      </c>
      <c r="M397" s="357">
        <v>1578942</v>
      </c>
      <c r="N397" s="357">
        <v>1515118</v>
      </c>
      <c r="O397" s="357">
        <v>3694470</v>
      </c>
      <c r="P397" s="357">
        <v>3694470</v>
      </c>
      <c r="Q397" s="357">
        <v>3694470</v>
      </c>
      <c r="R397" s="357">
        <v>3694470.4863999998</v>
      </c>
      <c r="S397" s="357">
        <v>3694470</v>
      </c>
      <c r="T397" s="357">
        <v>3694470</v>
      </c>
      <c r="U397" s="357">
        <v>3694470</v>
      </c>
      <c r="X397" s="500"/>
    </row>
    <row r="398" spans="1:24">
      <c r="A398" s="349">
        <v>369</v>
      </c>
      <c r="B398" s="353" t="s">
        <v>342</v>
      </c>
      <c r="C398" s="349" t="s">
        <v>365</v>
      </c>
      <c r="D398" s="357">
        <v>3995900</v>
      </c>
      <c r="E398" s="357">
        <v>4015208</v>
      </c>
      <c r="F398" s="357">
        <v>3957925</v>
      </c>
      <c r="G398" s="357">
        <v>3954067</v>
      </c>
      <c r="H398" s="357">
        <v>3972733</v>
      </c>
      <c r="I398" s="357">
        <v>3986245</v>
      </c>
      <c r="J398" s="357">
        <v>3973377.088</v>
      </c>
      <c r="K398" s="357">
        <v>3973377.088</v>
      </c>
      <c r="L398" s="357">
        <v>3973377</v>
      </c>
      <c r="M398" s="357">
        <v>3973377</v>
      </c>
      <c r="N398" s="357">
        <v>3761966</v>
      </c>
      <c r="O398" s="357">
        <v>8688137</v>
      </c>
      <c r="P398" s="357">
        <v>8688137</v>
      </c>
      <c r="Q398" s="357">
        <v>8688137</v>
      </c>
      <c r="R398" s="357">
        <v>8688137.0160000008</v>
      </c>
      <c r="S398" s="357">
        <v>8688137</v>
      </c>
      <c r="T398" s="357">
        <v>8688137</v>
      </c>
      <c r="U398" s="357">
        <v>8688137</v>
      </c>
      <c r="X398" s="500"/>
    </row>
    <row r="399" spans="1:24" ht="18">
      <c r="A399" s="349">
        <v>370</v>
      </c>
      <c r="B399" s="353" t="s">
        <v>343</v>
      </c>
      <c r="C399" s="349" t="s">
        <v>366</v>
      </c>
      <c r="D399" s="357">
        <v>92169</v>
      </c>
      <c r="E399" s="357">
        <v>91897</v>
      </c>
      <c r="F399" s="357">
        <v>90945</v>
      </c>
      <c r="G399" s="357">
        <v>90760</v>
      </c>
      <c r="H399" s="357">
        <v>91019</v>
      </c>
      <c r="I399" s="357">
        <v>90995</v>
      </c>
      <c r="J399" s="357">
        <v>91205.088000000003</v>
      </c>
      <c r="K399" s="357">
        <v>91205.088000000003</v>
      </c>
      <c r="L399" s="357">
        <v>91205</v>
      </c>
      <c r="M399" s="357">
        <v>91205</v>
      </c>
      <c r="N399" s="357">
        <v>88189</v>
      </c>
      <c r="O399" s="357">
        <v>347686</v>
      </c>
      <c r="P399" s="357">
        <v>347686</v>
      </c>
      <c r="Q399" s="357">
        <v>347686</v>
      </c>
      <c r="R399" s="357">
        <v>347686.34080000001</v>
      </c>
      <c r="S399" s="357">
        <v>347686</v>
      </c>
      <c r="T399" s="357">
        <v>347686</v>
      </c>
      <c r="U399" s="357">
        <v>347686</v>
      </c>
      <c r="X399" s="500"/>
    </row>
    <row r="400" spans="1:24">
      <c r="A400" s="349">
        <v>371</v>
      </c>
      <c r="B400" s="353" t="s">
        <v>343</v>
      </c>
      <c r="C400" s="349" t="s">
        <v>365</v>
      </c>
      <c r="D400" s="357">
        <v>2920192</v>
      </c>
      <c r="E400" s="357">
        <v>2908004</v>
      </c>
      <c r="F400" s="357">
        <v>2888571</v>
      </c>
      <c r="G400" s="357">
        <v>2870523</v>
      </c>
      <c r="H400" s="357">
        <v>2890672</v>
      </c>
      <c r="I400" s="357">
        <v>2883416</v>
      </c>
      <c r="J400" s="357">
        <v>2894183.5408000001</v>
      </c>
      <c r="K400" s="357">
        <v>2894183.5408000001</v>
      </c>
      <c r="L400" s="357">
        <v>2894184</v>
      </c>
      <c r="M400" s="357">
        <v>2894184</v>
      </c>
      <c r="N400" s="357">
        <v>2749885</v>
      </c>
      <c r="O400" s="357">
        <v>6559072</v>
      </c>
      <c r="P400" s="357">
        <v>6559072</v>
      </c>
      <c r="Q400" s="357">
        <v>6559072</v>
      </c>
      <c r="R400" s="357">
        <v>6559071.9311999995</v>
      </c>
      <c r="S400" s="357">
        <v>6559072</v>
      </c>
      <c r="T400" s="357">
        <v>6559072</v>
      </c>
      <c r="U400" s="357">
        <v>6559072</v>
      </c>
      <c r="X400" s="500"/>
    </row>
    <row r="401" spans="1:24" ht="18">
      <c r="A401" s="349">
        <v>372</v>
      </c>
      <c r="B401" s="353" t="s">
        <v>344</v>
      </c>
      <c r="C401" s="349" t="s">
        <v>366</v>
      </c>
      <c r="D401" s="357">
        <v>120231</v>
      </c>
      <c r="E401" s="357">
        <v>120280</v>
      </c>
      <c r="F401" s="357">
        <v>119452</v>
      </c>
      <c r="G401" s="357">
        <v>118908</v>
      </c>
      <c r="H401" s="357">
        <v>119501</v>
      </c>
      <c r="I401" s="357">
        <v>119871</v>
      </c>
      <c r="J401" s="357">
        <v>119241.9648</v>
      </c>
      <c r="K401" s="357">
        <v>119241.9648</v>
      </c>
      <c r="L401" s="357">
        <v>119242</v>
      </c>
      <c r="M401" s="357">
        <v>119242</v>
      </c>
      <c r="N401" s="357">
        <v>113827</v>
      </c>
      <c r="O401" s="357">
        <v>479327</v>
      </c>
      <c r="P401" s="357">
        <v>479327</v>
      </c>
      <c r="Q401" s="357">
        <v>479327</v>
      </c>
      <c r="R401" s="357">
        <v>479327.2144</v>
      </c>
      <c r="S401" s="357">
        <v>479327</v>
      </c>
      <c r="T401" s="357">
        <v>479327</v>
      </c>
      <c r="U401" s="357">
        <v>479327</v>
      </c>
      <c r="X401" s="500"/>
    </row>
    <row r="402" spans="1:24">
      <c r="A402" s="349">
        <v>373</v>
      </c>
      <c r="B402" s="353" t="s">
        <v>344</v>
      </c>
      <c r="C402" s="349" t="s">
        <v>365</v>
      </c>
      <c r="D402" s="357">
        <v>4123287</v>
      </c>
      <c r="E402" s="357">
        <v>4141855</v>
      </c>
      <c r="F402" s="357">
        <v>4089812</v>
      </c>
      <c r="G402" s="357">
        <v>4064273</v>
      </c>
      <c r="H402" s="357">
        <v>4104065</v>
      </c>
      <c r="I402" s="357">
        <v>4084831</v>
      </c>
      <c r="J402" s="357">
        <v>4105721.7248</v>
      </c>
      <c r="K402" s="357">
        <v>4105721.7248</v>
      </c>
      <c r="L402" s="357">
        <v>4105722</v>
      </c>
      <c r="M402" s="357">
        <v>4105722</v>
      </c>
      <c r="N402" s="357">
        <v>3953215</v>
      </c>
      <c r="O402" s="357">
        <v>9282960</v>
      </c>
      <c r="P402" s="357">
        <v>9282960</v>
      </c>
      <c r="Q402" s="357">
        <v>9282960</v>
      </c>
      <c r="R402" s="357">
        <v>9282960.0767999999</v>
      </c>
      <c r="S402" s="357">
        <v>9282960</v>
      </c>
      <c r="T402" s="357">
        <v>9282960</v>
      </c>
      <c r="U402" s="357">
        <v>9282960</v>
      </c>
      <c r="X402" s="500"/>
    </row>
    <row r="403" spans="1:24" ht="18">
      <c r="A403" s="349">
        <v>374</v>
      </c>
      <c r="B403" s="353" t="s">
        <v>345</v>
      </c>
      <c r="C403" s="349" t="s">
        <v>366</v>
      </c>
      <c r="D403" s="357">
        <v>20384</v>
      </c>
      <c r="E403" s="357">
        <v>20335</v>
      </c>
      <c r="F403" s="357">
        <v>20088</v>
      </c>
      <c r="G403" s="357">
        <v>20026</v>
      </c>
      <c r="H403" s="357">
        <v>20150</v>
      </c>
      <c r="I403" s="357">
        <v>20186</v>
      </c>
      <c r="J403" s="357">
        <v>20112.984</v>
      </c>
      <c r="K403" s="357">
        <v>20112.984</v>
      </c>
      <c r="L403" s="357">
        <v>20113</v>
      </c>
      <c r="M403" s="357">
        <v>20113</v>
      </c>
      <c r="N403" s="357">
        <v>19309</v>
      </c>
      <c r="O403" s="357">
        <v>73701</v>
      </c>
      <c r="P403" s="357">
        <v>73701</v>
      </c>
      <c r="Q403" s="357">
        <v>73701</v>
      </c>
      <c r="R403" s="357">
        <v>73700.617599999998</v>
      </c>
      <c r="S403" s="357">
        <v>73701</v>
      </c>
      <c r="T403" s="357">
        <v>73701</v>
      </c>
      <c r="U403" s="357">
        <v>73701</v>
      </c>
      <c r="X403" s="500"/>
    </row>
    <row r="404" spans="1:24">
      <c r="A404" s="349">
        <v>375</v>
      </c>
      <c r="B404" s="353" t="s">
        <v>345</v>
      </c>
      <c r="C404" s="349" t="s">
        <v>365</v>
      </c>
      <c r="D404" s="357">
        <v>361062</v>
      </c>
      <c r="E404" s="357">
        <v>362978</v>
      </c>
      <c r="F404" s="357">
        <v>358849</v>
      </c>
      <c r="G404" s="357">
        <v>355475</v>
      </c>
      <c r="H404" s="357">
        <v>360852</v>
      </c>
      <c r="I404" s="357">
        <v>360048</v>
      </c>
      <c r="J404" s="357">
        <v>358267.92320000002</v>
      </c>
      <c r="K404" s="357">
        <v>358267.92320000002</v>
      </c>
      <c r="L404" s="357">
        <v>358268</v>
      </c>
      <c r="M404" s="357">
        <v>358268</v>
      </c>
      <c r="N404" s="357">
        <v>344584</v>
      </c>
      <c r="O404" s="357">
        <v>960582</v>
      </c>
      <c r="P404" s="357">
        <v>960582</v>
      </c>
      <c r="Q404" s="357">
        <v>960582</v>
      </c>
      <c r="R404" s="357">
        <v>960582.12800000003</v>
      </c>
      <c r="S404" s="357">
        <v>960582</v>
      </c>
      <c r="T404" s="357">
        <v>960582</v>
      </c>
      <c r="U404" s="357">
        <v>960582</v>
      </c>
      <c r="X404" s="500"/>
    </row>
    <row r="405" spans="1:24" ht="18">
      <c r="A405" s="349">
        <v>376</v>
      </c>
      <c r="B405" s="353" t="s">
        <v>346</v>
      </c>
      <c r="C405" s="349" t="s">
        <v>366</v>
      </c>
      <c r="D405" s="357">
        <v>17344</v>
      </c>
      <c r="E405" s="357">
        <v>17282</v>
      </c>
      <c r="F405" s="357">
        <v>17207</v>
      </c>
      <c r="G405" s="357">
        <v>17109</v>
      </c>
      <c r="H405" s="357">
        <v>17207</v>
      </c>
      <c r="I405" s="357">
        <v>17257</v>
      </c>
      <c r="J405" s="357">
        <v>17269.518400000001</v>
      </c>
      <c r="K405" s="357">
        <v>17269.518400000001</v>
      </c>
      <c r="L405" s="357">
        <v>17270</v>
      </c>
      <c r="M405" s="357">
        <v>17270</v>
      </c>
      <c r="N405" s="357">
        <v>16281</v>
      </c>
      <c r="O405" s="357">
        <v>69288</v>
      </c>
      <c r="P405" s="357">
        <v>69288</v>
      </c>
      <c r="Q405" s="357">
        <v>69288</v>
      </c>
      <c r="R405" s="357">
        <v>69287.891199999998</v>
      </c>
      <c r="S405" s="357">
        <v>69288</v>
      </c>
      <c r="T405" s="357">
        <v>69288</v>
      </c>
      <c r="U405" s="357">
        <v>69288</v>
      </c>
      <c r="X405" s="500"/>
    </row>
    <row r="406" spans="1:24">
      <c r="A406" s="349">
        <v>377</v>
      </c>
      <c r="B406" s="353" t="s">
        <v>346</v>
      </c>
      <c r="C406" s="349" t="s">
        <v>365</v>
      </c>
      <c r="D406" s="357">
        <v>243761</v>
      </c>
      <c r="E406" s="357">
        <v>243255</v>
      </c>
      <c r="F406" s="357">
        <v>242216</v>
      </c>
      <c r="G406" s="357">
        <v>238965</v>
      </c>
      <c r="H406" s="357">
        <v>241017</v>
      </c>
      <c r="I406" s="357">
        <v>241066</v>
      </c>
      <c r="J406" s="357">
        <v>241066.21600000001</v>
      </c>
      <c r="K406" s="357">
        <v>241066.21600000001</v>
      </c>
      <c r="L406" s="357">
        <v>241066</v>
      </c>
      <c r="M406" s="357">
        <v>241066</v>
      </c>
      <c r="N406" s="357">
        <v>230943</v>
      </c>
      <c r="O406" s="357">
        <v>948134</v>
      </c>
      <c r="P406" s="357">
        <v>948134</v>
      </c>
      <c r="Q406" s="357">
        <v>948134</v>
      </c>
      <c r="R406" s="357">
        <v>948134.04319999996</v>
      </c>
      <c r="S406" s="357">
        <v>948134</v>
      </c>
      <c r="T406" s="357">
        <v>948134</v>
      </c>
      <c r="U406" s="357">
        <v>948134</v>
      </c>
      <c r="X406" s="500"/>
    </row>
    <row r="407" spans="1:24">
      <c r="A407" s="349">
        <v>378</v>
      </c>
      <c r="B407" s="353" t="s">
        <v>347</v>
      </c>
      <c r="C407" s="349" t="s">
        <v>365</v>
      </c>
      <c r="D407" s="357">
        <v>776503</v>
      </c>
      <c r="E407" s="357">
        <v>772028</v>
      </c>
      <c r="F407" s="357">
        <v>769605</v>
      </c>
      <c r="G407" s="357">
        <v>760581</v>
      </c>
      <c r="H407" s="357">
        <v>765440</v>
      </c>
      <c r="I407" s="357">
        <v>767430</v>
      </c>
      <c r="J407" s="357">
        <v>765502.02879999997</v>
      </c>
      <c r="K407" s="357">
        <v>765502.02879999997</v>
      </c>
      <c r="L407" s="357">
        <v>765502</v>
      </c>
      <c r="M407" s="357">
        <v>765502</v>
      </c>
      <c r="N407" s="357">
        <v>728366</v>
      </c>
      <c r="O407" s="357">
        <v>1990576</v>
      </c>
      <c r="P407" s="357">
        <v>1990576</v>
      </c>
      <c r="Q407" s="357">
        <v>1990576</v>
      </c>
      <c r="R407" s="357">
        <v>1990575.6336000001</v>
      </c>
      <c r="S407" s="357">
        <v>1990576</v>
      </c>
      <c r="T407" s="357">
        <v>1990576</v>
      </c>
      <c r="U407" s="357">
        <v>1990576</v>
      </c>
      <c r="X407" s="500"/>
    </row>
    <row r="408" spans="1:24">
      <c r="A408" s="349">
        <v>379</v>
      </c>
      <c r="B408" s="353" t="s">
        <v>348</v>
      </c>
      <c r="C408" s="349" t="s">
        <v>365</v>
      </c>
      <c r="D408" s="357">
        <v>903978</v>
      </c>
      <c r="E408" s="357">
        <v>904052</v>
      </c>
      <c r="F408" s="357">
        <v>894966</v>
      </c>
      <c r="G408" s="357">
        <v>892346</v>
      </c>
      <c r="H408" s="357">
        <v>897575</v>
      </c>
      <c r="I408" s="357">
        <v>897649</v>
      </c>
      <c r="J408" s="357">
        <v>898600.69759999996</v>
      </c>
      <c r="K408" s="357">
        <v>898600.69759999996</v>
      </c>
      <c r="L408" s="357">
        <v>898601</v>
      </c>
      <c r="M408" s="357">
        <v>898601</v>
      </c>
      <c r="N408" s="357">
        <v>855483</v>
      </c>
      <c r="O408" s="357">
        <v>2326272</v>
      </c>
      <c r="P408" s="357">
        <v>2326272</v>
      </c>
      <c r="Q408" s="357">
        <v>2326272</v>
      </c>
      <c r="R408" s="357">
        <v>2326271.7727999999</v>
      </c>
      <c r="S408" s="357">
        <v>2326272</v>
      </c>
      <c r="T408" s="357">
        <v>2326272</v>
      </c>
      <c r="U408" s="357">
        <v>2326272</v>
      </c>
      <c r="X408" s="500"/>
    </row>
    <row r="409" spans="1:24" ht="18">
      <c r="A409" s="349">
        <v>380</v>
      </c>
      <c r="B409" s="353" t="s">
        <v>349</v>
      </c>
      <c r="C409" s="349" t="s">
        <v>366</v>
      </c>
      <c r="D409" s="357">
        <v>99018</v>
      </c>
      <c r="E409" s="357">
        <v>98684</v>
      </c>
      <c r="F409" s="357">
        <v>98473</v>
      </c>
      <c r="G409" s="357">
        <v>97028</v>
      </c>
      <c r="H409" s="357">
        <v>98510</v>
      </c>
      <c r="I409" s="357">
        <v>97807</v>
      </c>
      <c r="J409" s="357">
        <v>98214.307199999996</v>
      </c>
      <c r="K409" s="357">
        <v>98214.307199999996</v>
      </c>
      <c r="L409" s="357">
        <v>98214</v>
      </c>
      <c r="M409" s="357">
        <v>98214</v>
      </c>
      <c r="N409" s="357">
        <v>95050</v>
      </c>
      <c r="O409" s="357">
        <v>384055</v>
      </c>
      <c r="P409" s="357">
        <v>384055</v>
      </c>
      <c r="Q409" s="357">
        <v>384055</v>
      </c>
      <c r="R409" s="357">
        <v>384054.72479999997</v>
      </c>
      <c r="S409" s="357">
        <v>384055</v>
      </c>
      <c r="T409" s="357">
        <v>384055</v>
      </c>
      <c r="U409" s="357">
        <v>384055</v>
      </c>
      <c r="X409" s="500"/>
    </row>
    <row r="410" spans="1:24">
      <c r="A410" s="349">
        <v>381</v>
      </c>
      <c r="B410" s="353" t="s">
        <v>349</v>
      </c>
      <c r="C410" s="349" t="s">
        <v>365</v>
      </c>
      <c r="D410" s="357">
        <v>2324924</v>
      </c>
      <c r="E410" s="357">
        <v>2311499</v>
      </c>
      <c r="F410" s="357">
        <v>2297148</v>
      </c>
      <c r="G410" s="357">
        <v>2285589</v>
      </c>
      <c r="H410" s="357">
        <v>2304231</v>
      </c>
      <c r="I410" s="357">
        <v>2305727</v>
      </c>
      <c r="J410" s="357">
        <v>2302735.0463999999</v>
      </c>
      <c r="K410" s="357">
        <v>2302735.0463999999</v>
      </c>
      <c r="L410" s="357">
        <v>2302735</v>
      </c>
      <c r="M410" s="357">
        <v>2302735</v>
      </c>
      <c r="N410" s="357">
        <v>2219231</v>
      </c>
      <c r="O410" s="357">
        <v>5778749</v>
      </c>
      <c r="P410" s="357">
        <v>5778749</v>
      </c>
      <c r="Q410" s="357">
        <v>5778749</v>
      </c>
      <c r="R410" s="357">
        <v>5778749.3487999998</v>
      </c>
      <c r="S410" s="357">
        <v>5778749</v>
      </c>
      <c r="T410" s="357">
        <v>5778749</v>
      </c>
      <c r="U410" s="357">
        <v>5778749</v>
      </c>
      <c r="X410" s="500"/>
    </row>
    <row r="411" spans="1:24" ht="18">
      <c r="A411" s="349">
        <v>382</v>
      </c>
      <c r="B411" s="353" t="s">
        <v>350</v>
      </c>
      <c r="C411" s="349" t="s">
        <v>366</v>
      </c>
      <c r="D411" s="357">
        <v>184709</v>
      </c>
      <c r="E411" s="357">
        <v>185612</v>
      </c>
      <c r="F411" s="357">
        <v>184326</v>
      </c>
      <c r="G411" s="357">
        <v>182163</v>
      </c>
      <c r="H411" s="357">
        <v>183300</v>
      </c>
      <c r="I411" s="357">
        <v>184165</v>
      </c>
      <c r="J411" s="357">
        <v>184251.54399999999</v>
      </c>
      <c r="K411" s="357">
        <v>184251.54399999999</v>
      </c>
      <c r="L411" s="357">
        <v>184252</v>
      </c>
      <c r="M411" s="357">
        <v>184252</v>
      </c>
      <c r="N411" s="357">
        <v>178294</v>
      </c>
      <c r="O411" s="357">
        <v>731680</v>
      </c>
      <c r="P411" s="357">
        <v>731680</v>
      </c>
      <c r="Q411" s="357">
        <v>731680</v>
      </c>
      <c r="R411" s="357">
        <v>731679.86880000005</v>
      </c>
      <c r="S411" s="357">
        <v>731680</v>
      </c>
      <c r="T411" s="357">
        <v>731680</v>
      </c>
      <c r="U411" s="357">
        <v>731680</v>
      </c>
      <c r="X411" s="500"/>
    </row>
    <row r="412" spans="1:24">
      <c r="A412" s="349">
        <v>383</v>
      </c>
      <c r="B412" s="353" t="s">
        <v>350</v>
      </c>
      <c r="C412" s="349" t="s">
        <v>365</v>
      </c>
      <c r="D412" s="357">
        <v>4093744</v>
      </c>
      <c r="E412" s="357">
        <v>4114153</v>
      </c>
      <c r="F412" s="357">
        <v>4057215</v>
      </c>
      <c r="G412" s="357">
        <v>4018052</v>
      </c>
      <c r="H412" s="357">
        <v>4061169</v>
      </c>
      <c r="I412" s="357">
        <v>4060503</v>
      </c>
      <c r="J412" s="357">
        <v>4066102.2607999998</v>
      </c>
      <c r="K412" s="357">
        <v>4066102.2607999998</v>
      </c>
      <c r="L412" s="357">
        <v>4066102</v>
      </c>
      <c r="M412" s="357">
        <v>4066102</v>
      </c>
      <c r="N412" s="357">
        <v>3888698</v>
      </c>
      <c r="O412" s="357">
        <v>8886581</v>
      </c>
      <c r="P412" s="357">
        <v>8886581</v>
      </c>
      <c r="Q412" s="357">
        <v>8886581</v>
      </c>
      <c r="R412" s="357">
        <v>8886580.7535999995</v>
      </c>
      <c r="S412" s="357">
        <v>8886581</v>
      </c>
      <c r="T412" s="357">
        <v>8886581</v>
      </c>
      <c r="U412" s="357">
        <v>8886581</v>
      </c>
      <c r="X412" s="500"/>
    </row>
    <row r="413" spans="1:24" ht="18">
      <c r="A413" s="349">
        <v>384</v>
      </c>
      <c r="B413" s="353" t="s">
        <v>351</v>
      </c>
      <c r="C413" s="349" t="s">
        <v>366</v>
      </c>
      <c r="D413" s="357">
        <v>271786</v>
      </c>
      <c r="E413" s="357">
        <v>270476</v>
      </c>
      <c r="F413" s="357">
        <v>269524</v>
      </c>
      <c r="G413" s="357">
        <v>267002</v>
      </c>
      <c r="H413" s="357">
        <v>268868</v>
      </c>
      <c r="I413" s="357">
        <v>269585</v>
      </c>
      <c r="J413" s="357">
        <v>269375.2</v>
      </c>
      <c r="K413" s="357">
        <v>269375.2</v>
      </c>
      <c r="L413" s="357">
        <v>269375</v>
      </c>
      <c r="M413" s="357">
        <v>269375</v>
      </c>
      <c r="N413" s="357">
        <v>253032</v>
      </c>
      <c r="O413" s="357">
        <v>1067388</v>
      </c>
      <c r="P413" s="357">
        <v>1067388</v>
      </c>
      <c r="Q413" s="357">
        <v>1067388</v>
      </c>
      <c r="R413" s="357">
        <v>1067388.0288</v>
      </c>
      <c r="S413" s="357">
        <v>1067388</v>
      </c>
      <c r="T413" s="357">
        <v>1067388</v>
      </c>
      <c r="U413" s="357">
        <v>1067388</v>
      </c>
      <c r="X413" s="500"/>
    </row>
    <row r="414" spans="1:24">
      <c r="A414" s="349">
        <v>385</v>
      </c>
      <c r="B414" s="353" t="s">
        <v>351</v>
      </c>
      <c r="C414" s="349" t="s">
        <v>365</v>
      </c>
      <c r="D414" s="357">
        <v>5701018</v>
      </c>
      <c r="E414" s="357">
        <v>5739154</v>
      </c>
      <c r="F414" s="357">
        <v>5667480</v>
      </c>
      <c r="G414" s="357">
        <v>5625673</v>
      </c>
      <c r="H414" s="357">
        <v>5684021</v>
      </c>
      <c r="I414" s="357">
        <v>5680807</v>
      </c>
      <c r="J414" s="357">
        <v>5693662.8480000002</v>
      </c>
      <c r="K414" s="357">
        <v>5693662.8480000002</v>
      </c>
      <c r="L414" s="357">
        <v>5693663</v>
      </c>
      <c r="M414" s="357">
        <v>5693663</v>
      </c>
      <c r="N414" s="357">
        <v>5374829</v>
      </c>
      <c r="O414" s="357">
        <v>11485651</v>
      </c>
      <c r="P414" s="357">
        <v>11485651</v>
      </c>
      <c r="Q414" s="357">
        <v>11485651</v>
      </c>
      <c r="R414" s="357">
        <v>11485651.468800001</v>
      </c>
      <c r="S414" s="357">
        <v>11485651</v>
      </c>
      <c r="T414" s="357">
        <v>11485651</v>
      </c>
      <c r="U414" s="357">
        <v>11485651</v>
      </c>
      <c r="X414" s="500"/>
    </row>
    <row r="415" spans="1:24" ht="18">
      <c r="A415" s="349">
        <v>386</v>
      </c>
      <c r="B415" s="353" t="s">
        <v>352</v>
      </c>
      <c r="C415" s="349" t="s">
        <v>366</v>
      </c>
      <c r="D415" s="357">
        <v>281453</v>
      </c>
      <c r="E415" s="357">
        <v>281255</v>
      </c>
      <c r="F415" s="357">
        <v>280451</v>
      </c>
      <c r="G415" s="357">
        <v>278238</v>
      </c>
      <c r="H415" s="357">
        <v>280278</v>
      </c>
      <c r="I415" s="357">
        <v>279389</v>
      </c>
      <c r="J415" s="357">
        <v>279820.18239999999</v>
      </c>
      <c r="K415" s="357">
        <v>279820.18239999999</v>
      </c>
      <c r="L415" s="357">
        <v>279820</v>
      </c>
      <c r="M415" s="357">
        <v>279820</v>
      </c>
      <c r="N415" s="357">
        <v>266718</v>
      </c>
      <c r="O415" s="357">
        <v>1046695</v>
      </c>
      <c r="P415" s="357">
        <v>1046695</v>
      </c>
      <c r="Q415" s="357">
        <v>1046695</v>
      </c>
      <c r="R415" s="357">
        <v>1046694.768</v>
      </c>
      <c r="S415" s="357">
        <v>1046695</v>
      </c>
      <c r="T415" s="357">
        <v>1046695</v>
      </c>
      <c r="U415" s="357">
        <v>1046695</v>
      </c>
      <c r="X415" s="500"/>
    </row>
    <row r="416" spans="1:24">
      <c r="A416" s="349">
        <v>387</v>
      </c>
      <c r="B416" s="353" t="s">
        <v>352</v>
      </c>
      <c r="C416" s="349" t="s">
        <v>365</v>
      </c>
      <c r="D416" s="357">
        <v>6176068</v>
      </c>
      <c r="E416" s="357">
        <v>6140417</v>
      </c>
      <c r="F416" s="357">
        <v>6114667</v>
      </c>
      <c r="G416" s="357">
        <v>6075060</v>
      </c>
      <c r="H416" s="357">
        <v>6117634</v>
      </c>
      <c r="I416" s="357">
        <v>6094864</v>
      </c>
      <c r="J416" s="357">
        <v>6105259.4112</v>
      </c>
      <c r="K416" s="357">
        <v>6105259.4112</v>
      </c>
      <c r="L416" s="357">
        <v>6105259</v>
      </c>
      <c r="M416" s="357">
        <v>6105259</v>
      </c>
      <c r="N416" s="357">
        <v>5817578</v>
      </c>
      <c r="O416" s="357">
        <v>14359499</v>
      </c>
      <c r="P416" s="357">
        <v>14359499</v>
      </c>
      <c r="Q416" s="357">
        <v>14359499</v>
      </c>
      <c r="R416" s="357">
        <v>14359499.0944</v>
      </c>
      <c r="S416" s="357">
        <v>14359499</v>
      </c>
      <c r="T416" s="357">
        <v>14359499</v>
      </c>
      <c r="U416" s="357">
        <v>14359499</v>
      </c>
      <c r="X416" s="500"/>
    </row>
    <row r="417" spans="1:24" ht="18">
      <c r="A417" s="349">
        <v>388</v>
      </c>
      <c r="B417" s="353" t="s">
        <v>353</v>
      </c>
      <c r="C417" s="349" t="s">
        <v>366</v>
      </c>
      <c r="D417" s="357">
        <v>261921</v>
      </c>
      <c r="E417" s="357">
        <v>262193</v>
      </c>
      <c r="F417" s="357">
        <v>261513</v>
      </c>
      <c r="G417" s="357">
        <v>258657</v>
      </c>
      <c r="H417" s="357">
        <v>260326</v>
      </c>
      <c r="I417" s="357">
        <v>260524</v>
      </c>
      <c r="J417" s="357">
        <v>261302.68640000001</v>
      </c>
      <c r="K417" s="357">
        <v>261302.68640000001</v>
      </c>
      <c r="L417" s="357">
        <v>261303</v>
      </c>
      <c r="M417" s="357">
        <v>261303</v>
      </c>
      <c r="N417" s="357">
        <v>247112</v>
      </c>
      <c r="O417" s="357">
        <v>958543</v>
      </c>
      <c r="P417" s="357">
        <v>958543</v>
      </c>
      <c r="Q417" s="357">
        <v>958543</v>
      </c>
      <c r="R417" s="357">
        <v>958542.9632</v>
      </c>
      <c r="S417" s="357">
        <v>958543</v>
      </c>
      <c r="T417" s="357">
        <v>958543</v>
      </c>
      <c r="U417" s="357">
        <v>958543</v>
      </c>
      <c r="X417" s="500"/>
    </row>
    <row r="418" spans="1:24">
      <c r="A418" s="349">
        <v>389</v>
      </c>
      <c r="B418" s="353" t="s">
        <v>353</v>
      </c>
      <c r="C418" s="349" t="s">
        <v>365</v>
      </c>
      <c r="D418" s="357">
        <v>7884760</v>
      </c>
      <c r="E418" s="357">
        <v>7866390</v>
      </c>
      <c r="F418" s="357">
        <v>7835362</v>
      </c>
      <c r="G418" s="357">
        <v>7735293</v>
      </c>
      <c r="H418" s="357">
        <v>7839787</v>
      </c>
      <c r="I418" s="357">
        <v>7814458</v>
      </c>
      <c r="J418" s="357">
        <v>7803690.2640000004</v>
      </c>
      <c r="K418" s="357">
        <v>7803690.2640000004</v>
      </c>
      <c r="L418" s="357">
        <v>7803690</v>
      </c>
      <c r="M418" s="357">
        <v>7803690</v>
      </c>
      <c r="N418" s="357">
        <v>7442036</v>
      </c>
      <c r="O418" s="357">
        <v>16467487</v>
      </c>
      <c r="P418" s="357">
        <v>16467487</v>
      </c>
      <c r="Q418" s="357">
        <v>16467487</v>
      </c>
      <c r="R418" s="357">
        <v>16467487.3456</v>
      </c>
      <c r="S418" s="357">
        <v>16467487</v>
      </c>
      <c r="T418" s="357">
        <v>16467487</v>
      </c>
      <c r="U418" s="357">
        <v>16467487</v>
      </c>
      <c r="X418" s="500"/>
    </row>
    <row r="419" spans="1:24" ht="18">
      <c r="A419" s="349">
        <v>390</v>
      </c>
      <c r="B419" s="353" t="s">
        <v>354</v>
      </c>
      <c r="C419" s="349" t="s">
        <v>366</v>
      </c>
      <c r="D419" s="357">
        <v>221201</v>
      </c>
      <c r="E419" s="357">
        <v>222586</v>
      </c>
      <c r="F419" s="357">
        <v>220435</v>
      </c>
      <c r="G419" s="357">
        <v>217295</v>
      </c>
      <c r="H419" s="357">
        <v>219063</v>
      </c>
      <c r="I419" s="357">
        <v>219063</v>
      </c>
      <c r="J419" s="357">
        <v>219779.56479999999</v>
      </c>
      <c r="K419" s="357">
        <v>219779.56479999999</v>
      </c>
      <c r="L419" s="357">
        <v>219780</v>
      </c>
      <c r="M419" s="357">
        <v>219780</v>
      </c>
      <c r="N419" s="357">
        <v>208567</v>
      </c>
      <c r="O419" s="357">
        <v>838263</v>
      </c>
      <c r="P419" s="357">
        <v>838263</v>
      </c>
      <c r="Q419" s="357">
        <v>838263</v>
      </c>
      <c r="R419" s="357">
        <v>838262.83840000001</v>
      </c>
      <c r="S419" s="357">
        <v>838263</v>
      </c>
      <c r="T419" s="357">
        <v>838263</v>
      </c>
      <c r="U419" s="357">
        <v>838263</v>
      </c>
      <c r="X419" s="500"/>
    </row>
    <row r="420" spans="1:24">
      <c r="A420" s="349">
        <v>391</v>
      </c>
      <c r="B420" s="353" t="s">
        <v>354</v>
      </c>
      <c r="C420" s="349" t="s">
        <v>365</v>
      </c>
      <c r="D420" s="357">
        <v>5841720</v>
      </c>
      <c r="E420" s="357">
        <v>5833734</v>
      </c>
      <c r="F420" s="357">
        <v>5777377</v>
      </c>
      <c r="G420" s="357">
        <v>5770330</v>
      </c>
      <c r="H420" s="357">
        <v>5808837</v>
      </c>
      <c r="I420" s="357">
        <v>5806959</v>
      </c>
      <c r="J420" s="357">
        <v>5809307.3152000001</v>
      </c>
      <c r="K420" s="357">
        <v>5809307.3152000001</v>
      </c>
      <c r="L420" s="357">
        <v>5809307</v>
      </c>
      <c r="M420" s="357">
        <v>5809307</v>
      </c>
      <c r="N420" s="357">
        <v>5536013</v>
      </c>
      <c r="O420" s="357">
        <v>12209370</v>
      </c>
      <c r="P420" s="357">
        <v>12209370</v>
      </c>
      <c r="Q420" s="357">
        <v>12209370</v>
      </c>
      <c r="R420" s="357">
        <v>12209370.2896</v>
      </c>
      <c r="S420" s="357">
        <v>12209370</v>
      </c>
      <c r="T420" s="357">
        <v>12209370</v>
      </c>
      <c r="U420" s="357">
        <v>12209370</v>
      </c>
      <c r="X420" s="500"/>
    </row>
    <row r="421" spans="1:24" ht="18">
      <c r="A421" s="349">
        <v>392</v>
      </c>
      <c r="B421" s="353" t="s">
        <v>355</v>
      </c>
      <c r="C421" s="349" t="s">
        <v>366</v>
      </c>
      <c r="D421" s="357">
        <v>472034</v>
      </c>
      <c r="E421" s="357">
        <v>469759</v>
      </c>
      <c r="F421" s="357">
        <v>465791</v>
      </c>
      <c r="G421" s="357">
        <v>462354</v>
      </c>
      <c r="H421" s="357">
        <v>467003</v>
      </c>
      <c r="I421" s="357">
        <v>467682</v>
      </c>
      <c r="J421" s="357">
        <v>465383.08640000003</v>
      </c>
      <c r="K421" s="357">
        <v>465383.08640000003</v>
      </c>
      <c r="L421" s="357">
        <v>465383</v>
      </c>
      <c r="M421" s="357">
        <v>465383</v>
      </c>
      <c r="N421" s="357">
        <v>447434</v>
      </c>
      <c r="O421" s="357">
        <v>1247054</v>
      </c>
      <c r="P421" s="357">
        <v>1247054</v>
      </c>
      <c r="Q421" s="357">
        <v>1247054</v>
      </c>
      <c r="R421" s="357">
        <v>1247054.1839999999</v>
      </c>
      <c r="S421" s="357">
        <v>1247054</v>
      </c>
      <c r="T421" s="357">
        <v>1247054</v>
      </c>
      <c r="U421" s="357">
        <v>1247054</v>
      </c>
      <c r="X421" s="500"/>
    </row>
    <row r="422" spans="1:24">
      <c r="A422" s="349">
        <v>393</v>
      </c>
      <c r="B422" s="353" t="s">
        <v>355</v>
      </c>
      <c r="C422" s="349" t="s">
        <v>365</v>
      </c>
      <c r="D422" s="357">
        <v>9182150</v>
      </c>
      <c r="E422" s="357">
        <v>9160751</v>
      </c>
      <c r="F422" s="357">
        <v>9134928</v>
      </c>
      <c r="G422" s="357">
        <v>9033845</v>
      </c>
      <c r="H422" s="357">
        <v>9135669</v>
      </c>
      <c r="I422" s="357">
        <v>9111317</v>
      </c>
      <c r="J422" s="357">
        <v>9101724.6608000007</v>
      </c>
      <c r="K422" s="357">
        <v>9101724.6608000007</v>
      </c>
      <c r="L422" s="357">
        <v>9101725</v>
      </c>
      <c r="M422" s="357">
        <v>9101725</v>
      </c>
      <c r="N422" s="357">
        <v>8684083</v>
      </c>
      <c r="O422" s="357">
        <v>18446950</v>
      </c>
      <c r="P422" s="357">
        <v>18446950</v>
      </c>
      <c r="Q422" s="357">
        <v>18446950</v>
      </c>
      <c r="R422" s="357">
        <v>18446950.296</v>
      </c>
      <c r="S422" s="357">
        <v>18446950</v>
      </c>
      <c r="T422" s="357">
        <v>18446950</v>
      </c>
      <c r="U422" s="357">
        <v>18446950</v>
      </c>
      <c r="X422" s="500"/>
    </row>
    <row r="423" spans="1:24" ht="18">
      <c r="A423" s="349">
        <v>394</v>
      </c>
      <c r="B423" s="353" t="s">
        <v>356</v>
      </c>
      <c r="C423" s="349" t="s">
        <v>366</v>
      </c>
      <c r="D423" s="357">
        <v>468374</v>
      </c>
      <c r="E423" s="357">
        <v>469512</v>
      </c>
      <c r="F423" s="357">
        <v>463343</v>
      </c>
      <c r="G423" s="357">
        <v>461798</v>
      </c>
      <c r="H423" s="357">
        <v>463182</v>
      </c>
      <c r="I423" s="357">
        <v>463454</v>
      </c>
      <c r="J423" s="357">
        <v>466384.09120000002</v>
      </c>
      <c r="K423" s="357">
        <v>466384.09120000002</v>
      </c>
      <c r="L423" s="357">
        <v>466384</v>
      </c>
      <c r="M423" s="357">
        <v>466384</v>
      </c>
      <c r="N423" s="357">
        <v>438137</v>
      </c>
      <c r="O423" s="357">
        <v>1241491</v>
      </c>
      <c r="P423" s="357">
        <v>1241491</v>
      </c>
      <c r="Q423" s="357">
        <v>1241491</v>
      </c>
      <c r="R423" s="357">
        <v>1241490.7392</v>
      </c>
      <c r="S423" s="357">
        <v>1241491</v>
      </c>
      <c r="T423" s="357">
        <v>1241491</v>
      </c>
      <c r="U423" s="357">
        <v>1241491</v>
      </c>
      <c r="X423" s="500"/>
    </row>
    <row r="424" spans="1:24">
      <c r="A424" s="349">
        <v>395</v>
      </c>
      <c r="B424" s="353" t="s">
        <v>356</v>
      </c>
      <c r="C424" s="349" t="s">
        <v>365</v>
      </c>
      <c r="D424" s="357">
        <v>10165008</v>
      </c>
      <c r="E424" s="357">
        <v>10188656</v>
      </c>
      <c r="F424" s="357">
        <v>10076114</v>
      </c>
      <c r="G424" s="357">
        <v>9954598</v>
      </c>
      <c r="H424" s="357">
        <v>10079379</v>
      </c>
      <c r="I424" s="357">
        <v>10080194</v>
      </c>
      <c r="J424" s="357">
        <v>10049203.024</v>
      </c>
      <c r="K424" s="357">
        <v>10049203.024</v>
      </c>
      <c r="L424" s="357">
        <v>10049203</v>
      </c>
      <c r="M424" s="357">
        <v>10049203</v>
      </c>
      <c r="N424" s="357">
        <v>9687906</v>
      </c>
      <c r="O424" s="357">
        <v>20388735</v>
      </c>
      <c r="P424" s="357">
        <v>20388735</v>
      </c>
      <c r="Q424" s="357">
        <v>20388735</v>
      </c>
      <c r="R424" s="357">
        <v>20388734.595199998</v>
      </c>
      <c r="S424" s="357">
        <v>20388735</v>
      </c>
      <c r="T424" s="357">
        <v>20388735</v>
      </c>
      <c r="U424" s="357">
        <v>20388735</v>
      </c>
      <c r="X424" s="500"/>
    </row>
    <row r="425" spans="1:24" ht="18">
      <c r="A425" s="349">
        <v>396</v>
      </c>
      <c r="B425" s="353" t="s">
        <v>357</v>
      </c>
      <c r="C425" s="349" t="s">
        <v>366</v>
      </c>
      <c r="D425" s="357">
        <v>214427</v>
      </c>
      <c r="E425" s="357">
        <v>214637</v>
      </c>
      <c r="F425" s="357">
        <v>211560</v>
      </c>
      <c r="G425" s="357">
        <v>209791</v>
      </c>
      <c r="H425" s="357">
        <v>212177</v>
      </c>
      <c r="I425" s="357">
        <v>212226</v>
      </c>
      <c r="J425" s="357">
        <v>211955.11679999999</v>
      </c>
      <c r="K425" s="357">
        <v>211955.11679999999</v>
      </c>
      <c r="L425" s="357">
        <v>211955</v>
      </c>
      <c r="M425" s="357">
        <v>211955</v>
      </c>
      <c r="N425" s="357">
        <v>206058</v>
      </c>
      <c r="O425" s="357">
        <v>808570</v>
      </c>
      <c r="P425" s="357">
        <v>808570</v>
      </c>
      <c r="Q425" s="357">
        <v>808570</v>
      </c>
      <c r="R425" s="357">
        <v>808570.36959999998</v>
      </c>
      <c r="S425" s="357">
        <v>808570</v>
      </c>
      <c r="T425" s="357">
        <v>808570</v>
      </c>
      <c r="U425" s="357">
        <v>808570</v>
      </c>
      <c r="X425" s="500"/>
    </row>
    <row r="426" spans="1:24">
      <c r="A426" s="349">
        <v>397</v>
      </c>
      <c r="B426" s="353" t="s">
        <v>357</v>
      </c>
      <c r="C426" s="349" t="s">
        <v>365</v>
      </c>
      <c r="D426" s="357">
        <v>4360275</v>
      </c>
      <c r="E426" s="357">
        <v>4356431</v>
      </c>
      <c r="F426" s="357">
        <v>4322176</v>
      </c>
      <c r="G426" s="357">
        <v>4267302</v>
      </c>
      <c r="H426" s="357">
        <v>4323931</v>
      </c>
      <c r="I426" s="357">
        <v>4333363</v>
      </c>
      <c r="J426" s="357">
        <v>4322880.7551999995</v>
      </c>
      <c r="K426" s="357">
        <v>4322880.7551999995</v>
      </c>
      <c r="L426" s="357">
        <v>4322881</v>
      </c>
      <c r="M426" s="357">
        <v>4322881</v>
      </c>
      <c r="N426" s="357">
        <v>4073668</v>
      </c>
      <c r="O426" s="357">
        <v>9087546</v>
      </c>
      <c r="P426" s="357">
        <v>9087546</v>
      </c>
      <c r="Q426" s="357">
        <v>9087546</v>
      </c>
      <c r="R426" s="357">
        <v>9087545.5808000006</v>
      </c>
      <c r="S426" s="357">
        <v>9087546</v>
      </c>
      <c r="T426" s="357">
        <v>9087546</v>
      </c>
      <c r="U426" s="357">
        <v>9087546</v>
      </c>
      <c r="X426" s="500"/>
    </row>
    <row r="427" spans="1:24" ht="18">
      <c r="A427" s="349">
        <v>398</v>
      </c>
      <c r="B427" s="353" t="s">
        <v>358</v>
      </c>
      <c r="C427" s="349" t="s">
        <v>366</v>
      </c>
      <c r="D427" s="357">
        <v>33970</v>
      </c>
      <c r="E427" s="357">
        <v>33834</v>
      </c>
      <c r="F427" s="357">
        <v>33674</v>
      </c>
      <c r="G427" s="357">
        <v>33204</v>
      </c>
      <c r="H427" s="357">
        <v>33686</v>
      </c>
      <c r="I427" s="357">
        <v>33476</v>
      </c>
      <c r="J427" s="357">
        <v>33512.897599999997</v>
      </c>
      <c r="K427" s="357">
        <v>33512.897599999997</v>
      </c>
      <c r="L427" s="357">
        <v>33513</v>
      </c>
      <c r="M427" s="357">
        <v>33513</v>
      </c>
      <c r="N427" s="357">
        <v>32387</v>
      </c>
      <c r="O427" s="357">
        <v>123988</v>
      </c>
      <c r="P427" s="357">
        <v>123988</v>
      </c>
      <c r="Q427" s="357">
        <v>123988</v>
      </c>
      <c r="R427" s="357">
        <v>123987.9952</v>
      </c>
      <c r="S427" s="357">
        <v>123988</v>
      </c>
      <c r="T427" s="357">
        <v>123988</v>
      </c>
      <c r="U427" s="357">
        <v>123988</v>
      </c>
      <c r="X427" s="500"/>
    </row>
    <row r="428" spans="1:24">
      <c r="A428" s="349">
        <v>399</v>
      </c>
      <c r="B428" s="353" t="s">
        <v>358</v>
      </c>
      <c r="C428" s="349" t="s">
        <v>365</v>
      </c>
      <c r="D428" s="357">
        <v>6846829</v>
      </c>
      <c r="E428" s="357">
        <v>6846829</v>
      </c>
      <c r="F428" s="357">
        <v>6826976</v>
      </c>
      <c r="G428" s="357">
        <v>6766317</v>
      </c>
      <c r="H428" s="357">
        <v>6793884</v>
      </c>
      <c r="I428" s="357">
        <v>6799953</v>
      </c>
      <c r="J428" s="357">
        <v>6814837.4000000004</v>
      </c>
      <c r="K428" s="357">
        <v>6814837.4000000004</v>
      </c>
      <c r="L428" s="357">
        <v>6814837</v>
      </c>
      <c r="M428" s="357">
        <v>6814837</v>
      </c>
      <c r="N428" s="357">
        <v>6508228</v>
      </c>
      <c r="O428" s="357">
        <v>13786297</v>
      </c>
      <c r="P428" s="357">
        <v>13786297</v>
      </c>
      <c r="Q428" s="357">
        <v>13786297</v>
      </c>
      <c r="R428" s="357">
        <v>13786297.081599999</v>
      </c>
      <c r="S428" s="357">
        <v>13786297</v>
      </c>
      <c r="T428" s="357">
        <v>13786297</v>
      </c>
      <c r="U428" s="357">
        <v>13786297</v>
      </c>
      <c r="X428" s="500"/>
    </row>
    <row r="429" spans="1:24">
      <c r="A429" s="349">
        <v>400</v>
      </c>
      <c r="B429" s="353" t="s">
        <v>359</v>
      </c>
      <c r="C429" s="349" t="s">
        <v>365</v>
      </c>
      <c r="D429" s="357">
        <v>1585902</v>
      </c>
      <c r="E429" s="357">
        <v>1584888</v>
      </c>
      <c r="F429" s="357">
        <v>1562810</v>
      </c>
      <c r="G429" s="357">
        <v>1555195</v>
      </c>
      <c r="H429" s="357">
        <v>1564590</v>
      </c>
      <c r="I429" s="357">
        <v>1570178</v>
      </c>
      <c r="J429" s="357">
        <v>1570041.0592</v>
      </c>
      <c r="K429" s="357">
        <v>1570041.0592</v>
      </c>
      <c r="L429" s="357">
        <v>1570041</v>
      </c>
      <c r="M429" s="357">
        <v>1570041</v>
      </c>
      <c r="N429" s="357">
        <v>1490494</v>
      </c>
      <c r="O429" s="357">
        <v>3679600</v>
      </c>
      <c r="P429" s="357">
        <v>3679600</v>
      </c>
      <c r="Q429" s="357">
        <v>3679600</v>
      </c>
      <c r="R429" s="357">
        <v>3679599.6639999999</v>
      </c>
      <c r="S429" s="357">
        <v>3679600</v>
      </c>
      <c r="T429" s="357">
        <v>3679600</v>
      </c>
      <c r="U429" s="357">
        <v>3679600</v>
      </c>
      <c r="X429" s="500"/>
    </row>
    <row r="430" spans="1:24">
      <c r="A430" s="349">
        <v>401</v>
      </c>
      <c r="B430" s="353" t="s">
        <v>360</v>
      </c>
      <c r="C430" s="349" t="s">
        <v>365</v>
      </c>
      <c r="D430" s="357">
        <v>6995764</v>
      </c>
      <c r="E430" s="357">
        <v>7001400</v>
      </c>
      <c r="F430" s="357">
        <v>6977716</v>
      </c>
      <c r="G430" s="357">
        <v>6893656</v>
      </c>
      <c r="H430" s="357">
        <v>6981659</v>
      </c>
      <c r="I430" s="357">
        <v>6968122</v>
      </c>
      <c r="J430" s="357">
        <v>6982783.2752</v>
      </c>
      <c r="K430" s="357">
        <v>6982783.2752</v>
      </c>
      <c r="L430" s="357">
        <v>6982783</v>
      </c>
      <c r="M430" s="357">
        <v>6982783</v>
      </c>
      <c r="N430" s="357">
        <v>6753746</v>
      </c>
      <c r="O430" s="357">
        <v>15795614</v>
      </c>
      <c r="P430" s="357">
        <v>15795614</v>
      </c>
      <c r="Q430" s="357">
        <v>15795614</v>
      </c>
      <c r="R430" s="357">
        <v>15795614.235199999</v>
      </c>
      <c r="S430" s="357">
        <v>15795614</v>
      </c>
      <c r="T430" s="357">
        <v>15795614</v>
      </c>
      <c r="U430" s="357">
        <v>15795614</v>
      </c>
      <c r="X430" s="500"/>
    </row>
    <row r="431" spans="1:24" ht="18">
      <c r="A431" s="349">
        <v>402</v>
      </c>
      <c r="B431" s="353" t="s">
        <v>361</v>
      </c>
      <c r="C431" s="349" t="s">
        <v>366</v>
      </c>
      <c r="D431" s="357">
        <v>315632</v>
      </c>
      <c r="E431" s="357">
        <v>314878</v>
      </c>
      <c r="F431" s="357">
        <v>312665</v>
      </c>
      <c r="G431" s="357">
        <v>311949</v>
      </c>
      <c r="H431" s="357">
        <v>312913</v>
      </c>
      <c r="I431" s="357">
        <v>312641</v>
      </c>
      <c r="J431" s="357">
        <v>314594.17119999998</v>
      </c>
      <c r="K431" s="357">
        <v>314594.17119999998</v>
      </c>
      <c r="L431" s="357">
        <v>314594</v>
      </c>
      <c r="M431" s="357">
        <v>314594</v>
      </c>
      <c r="N431" s="357">
        <v>302207</v>
      </c>
      <c r="O431" s="357">
        <v>1164923</v>
      </c>
      <c r="P431" s="357">
        <v>1164923</v>
      </c>
      <c r="Q431" s="357">
        <v>1164923</v>
      </c>
      <c r="R431" s="357">
        <v>1164922.6144000001</v>
      </c>
      <c r="S431" s="357">
        <v>1164923</v>
      </c>
      <c r="T431" s="357">
        <v>1164923</v>
      </c>
      <c r="U431" s="357">
        <v>1164923</v>
      </c>
      <c r="X431" s="500"/>
    </row>
    <row r="432" spans="1:24">
      <c r="A432" s="349">
        <v>403</v>
      </c>
      <c r="B432" s="353" t="s">
        <v>361</v>
      </c>
      <c r="C432" s="349" t="s">
        <v>365</v>
      </c>
      <c r="D432" s="357">
        <v>8311599</v>
      </c>
      <c r="E432" s="357">
        <v>8320943</v>
      </c>
      <c r="F432" s="357">
        <v>8232112</v>
      </c>
      <c r="G432" s="357">
        <v>8174667</v>
      </c>
      <c r="H432" s="357">
        <v>8242125</v>
      </c>
      <c r="I432" s="357">
        <v>8274191</v>
      </c>
      <c r="J432" s="357">
        <v>8248812.8383999998</v>
      </c>
      <c r="K432" s="357">
        <v>8248812.8383999998</v>
      </c>
      <c r="L432" s="357">
        <v>8248813</v>
      </c>
      <c r="M432" s="357">
        <v>8248813</v>
      </c>
      <c r="N432" s="357">
        <v>8001652</v>
      </c>
      <c r="O432" s="357">
        <v>15363398</v>
      </c>
      <c r="P432" s="357">
        <v>15363398</v>
      </c>
      <c r="Q432" s="357">
        <v>15363398</v>
      </c>
      <c r="R432" s="357">
        <v>15363397.628799999</v>
      </c>
      <c r="S432" s="357">
        <v>15363398</v>
      </c>
      <c r="T432" s="357">
        <v>15363398</v>
      </c>
      <c r="U432" s="357">
        <v>15363398</v>
      </c>
      <c r="X432" s="500"/>
    </row>
    <row r="433" spans="1:24" ht="18">
      <c r="A433" s="349">
        <v>404</v>
      </c>
      <c r="B433" s="353" t="s">
        <v>362</v>
      </c>
      <c r="C433" s="349" t="s">
        <v>366</v>
      </c>
      <c r="D433" s="357">
        <v>271439</v>
      </c>
      <c r="E433" s="357">
        <v>271909</v>
      </c>
      <c r="F433" s="357">
        <v>267744</v>
      </c>
      <c r="G433" s="357">
        <v>267014</v>
      </c>
      <c r="H433" s="357">
        <v>268065</v>
      </c>
      <c r="I433" s="357">
        <v>268670</v>
      </c>
      <c r="J433" s="357">
        <v>268460.52639999997</v>
      </c>
      <c r="K433" s="357">
        <v>268460.52639999997</v>
      </c>
      <c r="L433" s="357">
        <v>268461</v>
      </c>
      <c r="M433" s="357">
        <v>268461</v>
      </c>
      <c r="N433" s="357">
        <v>258163</v>
      </c>
      <c r="O433" s="357">
        <v>1023677</v>
      </c>
      <c r="P433" s="357">
        <v>1023677</v>
      </c>
      <c r="Q433" s="357">
        <v>1023677</v>
      </c>
      <c r="R433" s="357">
        <v>1023677.1216</v>
      </c>
      <c r="S433" s="357">
        <v>1023677</v>
      </c>
      <c r="T433" s="357">
        <v>1023677</v>
      </c>
      <c r="U433" s="357">
        <v>1023677</v>
      </c>
      <c r="X433" s="500"/>
    </row>
    <row r="434" spans="1:24">
      <c r="A434" s="349">
        <v>405</v>
      </c>
      <c r="B434" s="353" t="s">
        <v>362</v>
      </c>
      <c r="C434" s="349" t="s">
        <v>365</v>
      </c>
      <c r="D434" s="357">
        <v>5084537</v>
      </c>
      <c r="E434" s="357">
        <v>5086985</v>
      </c>
      <c r="F434" s="357">
        <v>5029491</v>
      </c>
      <c r="G434" s="357">
        <v>4980563</v>
      </c>
      <c r="H434" s="357">
        <v>5055587</v>
      </c>
      <c r="I434" s="357">
        <v>5030307</v>
      </c>
      <c r="J434" s="357">
        <v>5050295.4255999997</v>
      </c>
      <c r="K434" s="357">
        <v>5050295.4255999997</v>
      </c>
      <c r="L434" s="357">
        <v>5050295</v>
      </c>
      <c r="M434" s="357">
        <v>5050295</v>
      </c>
      <c r="N434" s="357">
        <v>4755468</v>
      </c>
      <c r="O434" s="357">
        <v>10602145</v>
      </c>
      <c r="P434" s="357">
        <v>10602145</v>
      </c>
      <c r="Q434" s="357">
        <v>10602145</v>
      </c>
      <c r="R434" s="357">
        <v>10602144.524800001</v>
      </c>
      <c r="S434" s="357">
        <v>10602145</v>
      </c>
      <c r="T434" s="357">
        <v>10602145</v>
      </c>
      <c r="U434" s="357">
        <v>10602145</v>
      </c>
      <c r="X434" s="500"/>
    </row>
    <row r="435" spans="1:24" ht="18">
      <c r="A435" s="349">
        <v>406</v>
      </c>
      <c r="B435" s="353" t="s">
        <v>363</v>
      </c>
      <c r="C435" s="349" t="s">
        <v>366</v>
      </c>
      <c r="D435" s="357">
        <v>158490</v>
      </c>
      <c r="E435" s="357">
        <v>157415</v>
      </c>
      <c r="F435" s="357">
        <v>156165</v>
      </c>
      <c r="G435" s="357">
        <v>155239</v>
      </c>
      <c r="H435" s="357">
        <v>156376</v>
      </c>
      <c r="I435" s="357">
        <v>157291</v>
      </c>
      <c r="J435" s="357">
        <v>156290.0704</v>
      </c>
      <c r="K435" s="357">
        <v>156290.0704</v>
      </c>
      <c r="L435" s="357">
        <v>156290</v>
      </c>
      <c r="M435" s="357">
        <v>156290</v>
      </c>
      <c r="N435" s="357">
        <v>148946</v>
      </c>
      <c r="O435" s="357">
        <v>596071</v>
      </c>
      <c r="P435" s="357">
        <v>596071</v>
      </c>
      <c r="Q435" s="357">
        <v>596071</v>
      </c>
      <c r="R435" s="357">
        <v>596071.03839999996</v>
      </c>
      <c r="S435" s="357">
        <v>596071</v>
      </c>
      <c r="T435" s="357">
        <v>596071</v>
      </c>
      <c r="U435" s="357">
        <v>596071</v>
      </c>
      <c r="X435" s="500"/>
    </row>
    <row r="436" spans="1:24">
      <c r="A436" s="349">
        <v>407</v>
      </c>
      <c r="B436" s="353" t="s">
        <v>363</v>
      </c>
      <c r="C436" s="349" t="s">
        <v>365</v>
      </c>
      <c r="D436" s="357">
        <v>2832943</v>
      </c>
      <c r="E436" s="357">
        <v>2843006</v>
      </c>
      <c r="F436" s="357">
        <v>2813758</v>
      </c>
      <c r="G436" s="357">
        <v>2793423</v>
      </c>
      <c r="H436" s="357">
        <v>2829754</v>
      </c>
      <c r="I436" s="357">
        <v>2811014</v>
      </c>
      <c r="J436" s="357">
        <v>2815129.2960000001</v>
      </c>
      <c r="K436" s="357">
        <v>2815129.2960000001</v>
      </c>
      <c r="L436" s="357">
        <v>2815129</v>
      </c>
      <c r="M436" s="357">
        <v>2815129</v>
      </c>
      <c r="N436" s="357">
        <v>2717361</v>
      </c>
      <c r="O436" s="357">
        <v>6396465</v>
      </c>
      <c r="P436" s="357">
        <v>6396465</v>
      </c>
      <c r="Q436" s="357">
        <v>6396465</v>
      </c>
      <c r="R436" s="357">
        <v>6396465.4768000003</v>
      </c>
      <c r="S436" s="357">
        <v>6396465</v>
      </c>
      <c r="T436" s="357">
        <v>6396465</v>
      </c>
      <c r="U436" s="357">
        <v>6396465</v>
      </c>
      <c r="X436" s="500"/>
    </row>
    <row r="437" spans="1:24" s="365" customFormat="1">
      <c r="A437" s="365">
        <v>1</v>
      </c>
      <c r="B437" s="365">
        <f>A437+1</f>
        <v>2</v>
      </c>
      <c r="C437" s="365">
        <f t="shared" ref="C437:U437" si="0">B437+1</f>
        <v>3</v>
      </c>
      <c r="D437" s="365">
        <f t="shared" si="0"/>
        <v>4</v>
      </c>
      <c r="E437" s="365">
        <f t="shared" si="0"/>
        <v>5</v>
      </c>
      <c r="F437" s="365">
        <f t="shared" si="0"/>
        <v>6</v>
      </c>
      <c r="G437" s="365">
        <f t="shared" si="0"/>
        <v>7</v>
      </c>
      <c r="H437" s="365">
        <v>4425.84</v>
      </c>
      <c r="I437" s="365">
        <f t="shared" si="0"/>
        <v>4426.84</v>
      </c>
      <c r="J437" s="365">
        <f t="shared" si="0"/>
        <v>4427.84</v>
      </c>
      <c r="K437" s="365">
        <f t="shared" si="0"/>
        <v>4428.84</v>
      </c>
      <c r="L437" s="365">
        <f t="shared" si="0"/>
        <v>4429.84</v>
      </c>
      <c r="M437" s="365">
        <f t="shared" si="0"/>
        <v>4430.84</v>
      </c>
      <c r="N437" s="365">
        <f t="shared" si="0"/>
        <v>4431.84</v>
      </c>
      <c r="O437" s="365">
        <f t="shared" si="0"/>
        <v>4432.84</v>
      </c>
      <c r="P437" s="365">
        <f t="shared" si="0"/>
        <v>4433.84</v>
      </c>
      <c r="Q437" s="365">
        <f t="shared" si="0"/>
        <v>4434.84</v>
      </c>
      <c r="R437" s="365">
        <f t="shared" si="0"/>
        <v>4435.84</v>
      </c>
      <c r="S437" s="365">
        <f t="shared" si="0"/>
        <v>4436.84</v>
      </c>
      <c r="T437" s="365">
        <f t="shared" si="0"/>
        <v>4437.84</v>
      </c>
      <c r="U437" s="365">
        <f t="shared" si="0"/>
        <v>4438.84</v>
      </c>
    </row>
    <row r="438" spans="1:24">
      <c r="H438" s="354">
        <v>11384.7904</v>
      </c>
    </row>
    <row r="439" spans="1:24">
      <c r="H439" s="354">
        <v>5031.2511999999997</v>
      </c>
    </row>
    <row r="440" spans="1:24">
      <c r="H440" s="354">
        <v>42277.153599999998</v>
      </c>
    </row>
    <row r="441" spans="1:24">
      <c r="H441" s="354">
        <v>41473.945599999999</v>
      </c>
    </row>
    <row r="442" spans="1:24">
      <c r="H442" s="354">
        <v>12645.881600000001</v>
      </c>
    </row>
    <row r="443" spans="1:24">
      <c r="H443" s="354">
        <v>6662.8015999999998</v>
      </c>
    </row>
    <row r="444" spans="1:24">
      <c r="H444" s="354">
        <v>19915.1872</v>
      </c>
    </row>
    <row r="445" spans="1:24">
      <c r="H445" s="354">
        <v>6699.9567999999999</v>
      </c>
    </row>
    <row r="446" spans="1:24">
      <c r="H446" s="354">
        <v>5550.3311999999996</v>
      </c>
    </row>
    <row r="447" spans="1:24">
      <c r="H447" s="354">
        <v>17961.2608</v>
      </c>
    </row>
    <row r="448" spans="1:24">
      <c r="H448" s="354">
        <v>16070.7168</v>
      </c>
    </row>
    <row r="449" spans="8:8">
      <c r="H449" s="354">
        <v>5636.6624000000002</v>
      </c>
    </row>
    <row r="450" spans="8:8">
      <c r="H450" s="354">
        <v>5105.5616</v>
      </c>
    </row>
    <row r="451" spans="8:8">
      <c r="H451" s="354">
        <v>15118.887999999999</v>
      </c>
    </row>
    <row r="452" spans="8:8">
      <c r="H452" s="354">
        <v>44192.832000000002</v>
      </c>
    </row>
    <row r="453" spans="8:8">
      <c r="H453" s="354">
        <v>16750.438399999999</v>
      </c>
    </row>
    <row r="454" spans="8:8">
      <c r="H454" s="354">
        <v>16750.438399999999</v>
      </c>
    </row>
    <row r="455" spans="8:8">
      <c r="H455" s="354">
        <v>69287.891199999998</v>
      </c>
    </row>
    <row r="456" spans="8:8">
      <c r="H456" s="354">
        <v>77940.681599999996</v>
      </c>
    </row>
    <row r="457" spans="8:8">
      <c r="H457" s="354">
        <v>30681.452799999999</v>
      </c>
    </row>
    <row r="458" spans="8:8">
      <c r="H458" s="354">
        <v>15415.0368</v>
      </c>
    </row>
    <row r="459" spans="8:8">
      <c r="H459" s="354">
        <v>34130.329599999997</v>
      </c>
    </row>
    <row r="460" spans="8:8">
      <c r="H460" s="354">
        <v>17257.497599999999</v>
      </c>
    </row>
    <row r="461" spans="8:8">
      <c r="H461" s="354">
        <v>86433.923200000005</v>
      </c>
    </row>
    <row r="462" spans="8:8">
      <c r="H462" s="354">
        <v>14055.5936</v>
      </c>
    </row>
    <row r="463" spans="8:8">
      <c r="H463" s="354">
        <v>44378.608</v>
      </c>
    </row>
    <row r="464" spans="8:8">
      <c r="H464" s="354">
        <v>11954.1392</v>
      </c>
    </row>
    <row r="465" spans="8:8">
      <c r="H465" s="354">
        <v>14958.2464</v>
      </c>
    </row>
    <row r="466" spans="8:8">
      <c r="H466" s="354">
        <v>44168.790399999998</v>
      </c>
    </row>
    <row r="467" spans="8:8">
      <c r="H467" s="354">
        <v>19964.3632</v>
      </c>
    </row>
    <row r="468" spans="8:8">
      <c r="H468" s="354">
        <v>12349.7328</v>
      </c>
    </row>
    <row r="469" spans="8:8">
      <c r="H469" s="354">
        <v>15699.1648</v>
      </c>
    </row>
    <row r="470" spans="8:8">
      <c r="H470" s="354">
        <v>23870.0304</v>
      </c>
    </row>
    <row r="471" spans="8:8">
      <c r="H471" s="354">
        <v>25589.004799999999</v>
      </c>
    </row>
    <row r="472" spans="8:8">
      <c r="H472" s="354">
        <v>5736.1072000000004</v>
      </c>
    </row>
    <row r="473" spans="8:8">
      <c r="H473" s="354">
        <v>17627.9568</v>
      </c>
    </row>
    <row r="474" spans="8:8">
      <c r="H474" s="354">
        <v>7614.6304</v>
      </c>
    </row>
    <row r="475" spans="8:8">
      <c r="H475" s="354">
        <v>16564.662400000001</v>
      </c>
    </row>
    <row r="476" spans="8:8">
      <c r="H476" s="354">
        <v>17800.619200000001</v>
      </c>
    </row>
    <row r="477" spans="8:8">
      <c r="H477" s="354">
        <v>10779.379199999999</v>
      </c>
    </row>
    <row r="478" spans="8:8">
      <c r="H478" s="354">
        <v>11039.4656</v>
      </c>
    </row>
    <row r="479" spans="8:8">
      <c r="H479" s="354">
        <v>21595.9136</v>
      </c>
    </row>
    <row r="480" spans="8:8">
      <c r="H480" s="354">
        <v>4882.6304</v>
      </c>
    </row>
    <row r="481" spans="8:8">
      <c r="H481" s="354">
        <v>24167.272000000001</v>
      </c>
    </row>
    <row r="482" spans="8:8">
      <c r="H482" s="354">
        <v>15550.544</v>
      </c>
    </row>
    <row r="483" spans="8:8">
      <c r="H483" s="354">
        <v>2089.4335999999998</v>
      </c>
    </row>
    <row r="484" spans="8:8">
      <c r="H484" s="354">
        <v>1235.9567999999999</v>
      </c>
    </row>
    <row r="485" spans="8:8">
      <c r="H485" s="354">
        <v>507.05919999999998</v>
      </c>
    </row>
    <row r="486" spans="8:8">
      <c r="H486" s="354">
        <v>1124.4911999999999</v>
      </c>
    </row>
    <row r="487" spans="8:8">
      <c r="H487" s="354">
        <v>766.05280000000005</v>
      </c>
    </row>
    <row r="488" spans="8:8">
      <c r="H488" s="354">
        <v>1285.1328000000001</v>
      </c>
    </row>
    <row r="489" spans="8:8">
      <c r="H489" s="354">
        <v>704.85599999999999</v>
      </c>
    </row>
    <row r="490" spans="8:8">
      <c r="H490" s="354">
        <v>5142.7168000000001</v>
      </c>
    </row>
    <row r="491" spans="8:8">
      <c r="H491" s="354">
        <v>5291.3375999999998</v>
      </c>
    </row>
    <row r="492" spans="8:8">
      <c r="H492" s="354">
        <v>7207.0159999999996</v>
      </c>
    </row>
    <row r="493" spans="8:8">
      <c r="H493" s="354">
        <v>7181.8815999999997</v>
      </c>
    </row>
    <row r="494" spans="8:8">
      <c r="H494" s="354">
        <v>12695.0576</v>
      </c>
    </row>
    <row r="495" spans="8:8">
      <c r="H495" s="354">
        <v>7244.1711999999998</v>
      </c>
    </row>
    <row r="496" spans="8:8">
      <c r="H496" s="354">
        <v>5241.0688</v>
      </c>
    </row>
    <row r="497" spans="8:8">
      <c r="H497" s="354">
        <v>3782.1808000000001</v>
      </c>
    </row>
    <row r="498" spans="8:8">
      <c r="H498" s="354">
        <v>17393.004799999999</v>
      </c>
    </row>
    <row r="499" spans="8:8">
      <c r="H499" s="354">
        <v>22412.235199999999</v>
      </c>
    </row>
    <row r="500" spans="8:8">
      <c r="H500" s="354">
        <v>9246.1808000000001</v>
      </c>
    </row>
    <row r="501" spans="8:8">
      <c r="H501" s="354">
        <v>11397.904</v>
      </c>
    </row>
    <row r="502" spans="8:8">
      <c r="H502" s="354">
        <v>13041.475200000001</v>
      </c>
    </row>
    <row r="503" spans="8:8">
      <c r="H503" s="354">
        <v>18938.223999999998</v>
      </c>
    </row>
    <row r="504" spans="8:8">
      <c r="H504" s="354">
        <v>10681.0272</v>
      </c>
    </row>
    <row r="505" spans="8:8">
      <c r="H505" s="354">
        <v>5217.0271999999995</v>
      </c>
    </row>
    <row r="506" spans="8:8">
      <c r="H506" s="354">
        <v>7688.9408000000003</v>
      </c>
    </row>
    <row r="507" spans="8:8">
      <c r="H507" s="354">
        <v>30138.331200000001</v>
      </c>
    </row>
    <row r="508" spans="8:8">
      <c r="H508" s="354">
        <v>30175.486400000002</v>
      </c>
    </row>
    <row r="509" spans="8:8">
      <c r="H509" s="354">
        <v>42141.646399999998</v>
      </c>
    </row>
    <row r="510" spans="8:8">
      <c r="H510" s="354">
        <v>42277.153599999998</v>
      </c>
    </row>
    <row r="511" spans="8:8">
      <c r="H511" s="354">
        <v>37752.961600000002</v>
      </c>
    </row>
    <row r="512" spans="8:8">
      <c r="H512" s="354">
        <v>144719.50399999999</v>
      </c>
    </row>
    <row r="513" spans="8:8">
      <c r="H513" s="354">
        <v>164745.06400000001</v>
      </c>
    </row>
    <row r="514" spans="8:8">
      <c r="H514" s="354">
        <v>1533.1984</v>
      </c>
    </row>
    <row r="515" spans="8:8">
      <c r="H515" s="354">
        <v>1768.1504</v>
      </c>
    </row>
    <row r="516" spans="8:8">
      <c r="H516" s="354">
        <v>1755.0368000000001</v>
      </c>
    </row>
    <row r="517" spans="8:8">
      <c r="H517" s="354">
        <v>1792.192</v>
      </c>
    </row>
    <row r="518" spans="8:8">
      <c r="H518" s="354">
        <v>1755.0368000000001</v>
      </c>
    </row>
    <row r="519" spans="8:8">
      <c r="H519" s="354">
        <v>1768.1504</v>
      </c>
    </row>
    <row r="520" spans="8:8">
      <c r="H520" s="354">
        <v>3127.5936000000002</v>
      </c>
    </row>
    <row r="521" spans="8:8">
      <c r="H521" s="354">
        <v>3597.4976000000001</v>
      </c>
    </row>
    <row r="522" spans="8:8">
      <c r="H522" s="354">
        <v>4153.7327999999998</v>
      </c>
    </row>
    <row r="523" spans="8:8">
      <c r="H523" s="354">
        <v>4462.9952000000003</v>
      </c>
    </row>
    <row r="524" spans="8:8">
      <c r="H524" s="354">
        <v>4351.5295999999998</v>
      </c>
    </row>
    <row r="525" spans="8:8">
      <c r="H525" s="354">
        <v>4202.9088000000002</v>
      </c>
    </row>
    <row r="526" spans="8:8">
      <c r="H526" s="354">
        <v>4697.9471999999996</v>
      </c>
    </row>
    <row r="527" spans="8:8">
      <c r="H527" s="354">
        <v>4919.7856000000002</v>
      </c>
    </row>
    <row r="528" spans="8:8">
      <c r="H528" s="354">
        <v>5241.0688</v>
      </c>
    </row>
    <row r="529" spans="8:8">
      <c r="H529" s="354">
        <v>5983.08</v>
      </c>
    </row>
    <row r="530" spans="8:8">
      <c r="H530" s="354">
        <v>5303.3584000000001</v>
      </c>
    </row>
    <row r="531" spans="8:8">
      <c r="H531" s="354">
        <v>5278.2240000000002</v>
      </c>
    </row>
    <row r="532" spans="8:8">
      <c r="H532" s="354">
        <v>6638.76</v>
      </c>
    </row>
    <row r="533" spans="8:8">
      <c r="H533" s="354">
        <v>7281.3263999999999</v>
      </c>
    </row>
    <row r="534" spans="8:8">
      <c r="H534" s="354">
        <v>8257.1967999999997</v>
      </c>
    </row>
    <row r="535" spans="8:8">
      <c r="H535" s="354">
        <v>9382.7808000000005</v>
      </c>
    </row>
    <row r="536" spans="8:8">
      <c r="H536" s="354">
        <v>8517.2831999999999</v>
      </c>
    </row>
    <row r="537" spans="8:8">
      <c r="H537" s="354">
        <v>8517.2831999999999</v>
      </c>
    </row>
    <row r="538" spans="8:8">
      <c r="H538" s="354">
        <v>6897.7536</v>
      </c>
    </row>
    <row r="539" spans="8:8">
      <c r="H539" s="354">
        <v>6897.7536</v>
      </c>
    </row>
    <row r="540" spans="8:8">
      <c r="H540" s="354">
        <v>7663.8064000000004</v>
      </c>
    </row>
    <row r="541" spans="8:8">
      <c r="H541" s="354">
        <v>7663.8064000000004</v>
      </c>
    </row>
    <row r="542" spans="8:8">
      <c r="H542" s="354">
        <v>8368.6623999999993</v>
      </c>
    </row>
    <row r="543" spans="8:8">
      <c r="H543" s="354">
        <v>50410.864000000001</v>
      </c>
    </row>
    <row r="544" spans="8:8">
      <c r="H544" s="354">
        <v>17800.619200000001</v>
      </c>
    </row>
    <row r="545" spans="8:8">
      <c r="H545" s="354">
        <v>36219.763200000001</v>
      </c>
    </row>
    <row r="546" spans="8:8">
      <c r="H546" s="354">
        <v>9098.6527999999998</v>
      </c>
    </row>
    <row r="547" spans="8:8">
      <c r="H547" s="354">
        <v>20421.153600000001</v>
      </c>
    </row>
    <row r="548" spans="8:8">
      <c r="H548" s="354">
        <v>28147.249599999999</v>
      </c>
    </row>
    <row r="549" spans="8:8">
      <c r="H549" s="354">
        <v>3090.4384</v>
      </c>
    </row>
    <row r="550" spans="8:8">
      <c r="H550" s="354">
        <v>19729.411199999999</v>
      </c>
    </row>
    <row r="551" spans="8:8">
      <c r="H551" s="354">
        <v>19543.635200000001</v>
      </c>
    </row>
    <row r="552" spans="8:8">
      <c r="H552" s="354">
        <v>18011.529600000002</v>
      </c>
    </row>
    <row r="553" spans="8:8">
      <c r="H553" s="354">
        <v>23364.063999999998</v>
      </c>
    </row>
    <row r="554" spans="8:8">
      <c r="H554" s="354">
        <v>29952.555199999999</v>
      </c>
    </row>
    <row r="555" spans="8:8">
      <c r="H555" s="354">
        <v>29556.961599999999</v>
      </c>
    </row>
    <row r="556" spans="8:8">
      <c r="H556" s="354">
        <v>45157.774400000002</v>
      </c>
    </row>
    <row r="557" spans="8:8">
      <c r="H557" s="354">
        <v>38481.859199999999</v>
      </c>
    </row>
    <row r="558" spans="8:8">
      <c r="H558" s="354">
        <v>10074.5232</v>
      </c>
    </row>
    <row r="559" spans="8:8">
      <c r="H559" s="354">
        <v>11125.7968</v>
      </c>
    </row>
    <row r="560" spans="8:8">
      <c r="H560" s="354">
        <v>40052.212800000001</v>
      </c>
    </row>
    <row r="561" spans="8:8">
      <c r="H561" s="354">
        <v>46331.441599999998</v>
      </c>
    </row>
    <row r="562" spans="8:8">
      <c r="H562" s="354">
        <v>8072.5136000000002</v>
      </c>
    </row>
    <row r="563" spans="8:8">
      <c r="H563" s="354">
        <v>10914.886399999999</v>
      </c>
    </row>
    <row r="564" spans="8:8">
      <c r="H564" s="354">
        <v>13869.8176</v>
      </c>
    </row>
    <row r="565" spans="8:8">
      <c r="H565" s="354">
        <v>15403.016</v>
      </c>
    </row>
    <row r="566" spans="8:8">
      <c r="H566" s="354">
        <v>17146.031999999999</v>
      </c>
    </row>
    <row r="567" spans="8:8">
      <c r="H567" s="354">
        <v>8257.1967999999997</v>
      </c>
    </row>
    <row r="568" spans="8:8">
      <c r="H568" s="354">
        <v>4672.8127999999997</v>
      </c>
    </row>
    <row r="569" spans="8:8">
      <c r="H569" s="354">
        <v>4796.2992000000004</v>
      </c>
    </row>
    <row r="570" spans="8:8">
      <c r="H570" s="354">
        <v>5080.4272000000001</v>
      </c>
    </row>
    <row r="571" spans="8:8">
      <c r="H571" s="354">
        <v>6490.1391999999996</v>
      </c>
    </row>
    <row r="572" spans="8:8">
      <c r="H572" s="354">
        <v>16131.9136</v>
      </c>
    </row>
    <row r="573" spans="8:8">
      <c r="H573" s="354">
        <v>24155.251199999999</v>
      </c>
    </row>
    <row r="574" spans="8:8">
      <c r="H574" s="354">
        <v>52760.383999999998</v>
      </c>
    </row>
    <row r="575" spans="8:8">
      <c r="H575" s="354">
        <v>13956.148799999999</v>
      </c>
    </row>
    <row r="576" spans="8:8">
      <c r="H576" s="354">
        <v>54873.859199999999</v>
      </c>
    </row>
    <row r="577" spans="8:8">
      <c r="H577" s="354">
        <v>197392.46400000001</v>
      </c>
    </row>
    <row r="578" spans="8:8">
      <c r="H578" s="354">
        <v>40113.409599999999</v>
      </c>
    </row>
    <row r="579" spans="8:8">
      <c r="H579" s="354">
        <v>35144.447999999997</v>
      </c>
    </row>
    <row r="580" spans="8:8">
      <c r="H580" s="354">
        <v>108647.26880000001</v>
      </c>
    </row>
    <row r="581" spans="8:8">
      <c r="H581" s="354">
        <v>46454.928</v>
      </c>
    </row>
    <row r="582" spans="8:8">
      <c r="H582" s="354">
        <v>24698.372800000001</v>
      </c>
    </row>
    <row r="583" spans="8:8">
      <c r="H583" s="354">
        <v>15142.929599999999</v>
      </c>
    </row>
    <row r="584" spans="8:8">
      <c r="H584" s="354">
        <v>11632.856</v>
      </c>
    </row>
    <row r="585" spans="8:8">
      <c r="H585" s="354">
        <v>6045.3696</v>
      </c>
    </row>
    <row r="586" spans="8:8">
      <c r="H586" s="354">
        <v>7404.8127999999997</v>
      </c>
    </row>
    <row r="587" spans="8:8">
      <c r="H587" s="354">
        <v>21595.9136</v>
      </c>
    </row>
    <row r="588" spans="8:8">
      <c r="H588" s="354">
        <v>13301.561599999999</v>
      </c>
    </row>
    <row r="589" spans="8:8">
      <c r="H589" s="354">
        <v>2534.2031999999999</v>
      </c>
    </row>
    <row r="590" spans="8:8">
      <c r="H590" s="354">
        <v>4425.84</v>
      </c>
    </row>
    <row r="591" spans="8:8">
      <c r="H591" s="354">
        <v>2447.8719999999998</v>
      </c>
    </row>
    <row r="592" spans="8:8">
      <c r="H592" s="354">
        <v>3090.4384</v>
      </c>
    </row>
    <row r="593" spans="8:8">
      <c r="H593" s="354">
        <v>6799.4016000000001</v>
      </c>
    </row>
    <row r="594" spans="8:8">
      <c r="H594" s="354">
        <v>19000.513599999998</v>
      </c>
    </row>
    <row r="595" spans="8:8">
      <c r="H595" s="354">
        <v>8282.3312000000005</v>
      </c>
    </row>
    <row r="596" spans="8:8">
      <c r="H596" s="354">
        <v>15464.212799999999</v>
      </c>
    </row>
    <row r="597" spans="8:8">
      <c r="H597" s="354">
        <v>17776.577600000001</v>
      </c>
    </row>
    <row r="598" spans="8:8">
      <c r="H598" s="354">
        <v>2015.1232</v>
      </c>
    </row>
    <row r="599" spans="8:8">
      <c r="H599" s="354">
        <v>3572.3631999999998</v>
      </c>
    </row>
    <row r="600" spans="8:8">
      <c r="H600" s="354">
        <v>3869.6048000000001</v>
      </c>
    </row>
    <row r="601" spans="8:8">
      <c r="H601" s="354">
        <v>25379.1872</v>
      </c>
    </row>
    <row r="602" spans="8:8">
      <c r="H602" s="354">
        <v>36021.966399999998</v>
      </c>
    </row>
    <row r="603" spans="8:8">
      <c r="H603" s="354">
        <v>18196.212800000001</v>
      </c>
    </row>
    <row r="604" spans="8:8">
      <c r="H604" s="354">
        <v>13140.92</v>
      </c>
    </row>
    <row r="605" spans="8:8">
      <c r="H605" s="354">
        <v>100871.99679999999</v>
      </c>
    </row>
    <row r="606" spans="8:8">
      <c r="H606" s="354">
        <v>84455.955199999997</v>
      </c>
    </row>
    <row r="607" spans="8:8">
      <c r="H607" s="354">
        <v>56604.854399999997</v>
      </c>
    </row>
    <row r="608" spans="8:8">
      <c r="H608" s="354">
        <v>50559.484799999998</v>
      </c>
    </row>
    <row r="609" spans="8:8">
      <c r="H609" s="354">
        <v>5229.0479999999998</v>
      </c>
    </row>
    <row r="610" spans="8:8">
      <c r="H610" s="354">
        <v>15687.144</v>
      </c>
    </row>
    <row r="611" spans="8:8">
      <c r="H611" s="354">
        <v>21633.068800000001</v>
      </c>
    </row>
    <row r="612" spans="8:8">
      <c r="H612" s="354">
        <v>31114.2016</v>
      </c>
    </row>
    <row r="613" spans="8:8">
      <c r="H613" s="354">
        <v>6934.9088000000002</v>
      </c>
    </row>
    <row r="614" spans="8:8">
      <c r="H614" s="354">
        <v>72983.7408</v>
      </c>
    </row>
    <row r="615" spans="8:8">
      <c r="H615" s="354">
        <v>4302.3536000000004</v>
      </c>
    </row>
    <row r="616" spans="8:8">
      <c r="H616" s="354">
        <v>10581.582399999999</v>
      </c>
    </row>
    <row r="617" spans="8:8">
      <c r="H617" s="354">
        <v>54378.820800000001</v>
      </c>
    </row>
    <row r="618" spans="8:8">
      <c r="H618" s="354">
        <v>963.84960000000001</v>
      </c>
    </row>
    <row r="619" spans="8:8">
      <c r="H619" s="354">
        <v>3016.1280000000002</v>
      </c>
    </row>
    <row r="620" spans="8:8">
      <c r="H620" s="354">
        <v>1335.4015999999999</v>
      </c>
    </row>
    <row r="621" spans="8:8">
      <c r="H621" s="354">
        <v>5636.6624000000002</v>
      </c>
    </row>
    <row r="622" spans="8:8">
      <c r="H622" s="354">
        <v>4771.1647999999996</v>
      </c>
    </row>
    <row r="623" spans="8:8">
      <c r="H623" s="354">
        <v>5414.8239999999996</v>
      </c>
    </row>
    <row r="624" spans="8:8">
      <c r="H624" s="354">
        <v>7812.4272000000001</v>
      </c>
    </row>
    <row r="625" spans="8:8">
      <c r="H625" s="354">
        <v>4449.8815999999997</v>
      </c>
    </row>
    <row r="626" spans="8:8">
      <c r="H626" s="354">
        <v>4833.4543999999996</v>
      </c>
    </row>
    <row r="627" spans="8:8">
      <c r="H627" s="354">
        <v>25107.079999999998</v>
      </c>
    </row>
    <row r="628" spans="8:8">
      <c r="H628" s="354">
        <v>3955.9360000000001</v>
      </c>
    </row>
    <row r="629" spans="8:8">
      <c r="H629" s="354">
        <v>20941.326399999998</v>
      </c>
    </row>
    <row r="630" spans="8:8">
      <c r="H630" s="354">
        <v>2904.6624000000002</v>
      </c>
    </row>
    <row r="631" spans="8:8">
      <c r="H631" s="354">
        <v>14079.635200000001</v>
      </c>
    </row>
    <row r="632" spans="8:8">
      <c r="H632" s="354">
        <v>3708.9632000000001</v>
      </c>
    </row>
    <row r="633" spans="8:8">
      <c r="H633" s="354">
        <v>20990.502400000001</v>
      </c>
    </row>
    <row r="634" spans="8:8">
      <c r="H634" s="354">
        <v>4128.5983999999999</v>
      </c>
    </row>
    <row r="635" spans="8:8">
      <c r="H635" s="354">
        <v>23350.950400000002</v>
      </c>
    </row>
    <row r="636" spans="8:8">
      <c r="H636" s="354">
        <v>1668.7056</v>
      </c>
    </row>
    <row r="637" spans="8:8">
      <c r="H637" s="354">
        <v>10211.1232</v>
      </c>
    </row>
    <row r="638" spans="8:8">
      <c r="H638" s="354">
        <v>149984.61439999999</v>
      </c>
    </row>
    <row r="639" spans="8:8">
      <c r="H639" s="354">
        <v>3634.6527999999998</v>
      </c>
    </row>
    <row r="640" spans="8:8">
      <c r="H640" s="354">
        <v>21299.764800000001</v>
      </c>
    </row>
    <row r="641" spans="8:8">
      <c r="H641" s="354">
        <v>71759.804799999998</v>
      </c>
    </row>
    <row r="642" spans="8:8">
      <c r="H642" s="354">
        <v>336524.4816</v>
      </c>
    </row>
    <row r="643" spans="8:8">
      <c r="H643" s="354">
        <v>34464.7264</v>
      </c>
    </row>
    <row r="644" spans="8:8">
      <c r="H644" s="354">
        <v>191953.59839999999</v>
      </c>
    </row>
    <row r="645" spans="8:8">
      <c r="H645" s="354">
        <v>37974.800000000003</v>
      </c>
    </row>
    <row r="646" spans="8:8">
      <c r="H646" s="354">
        <v>26750.6512</v>
      </c>
    </row>
    <row r="647" spans="8:8">
      <c r="H647" s="354">
        <v>4042.2671999999998</v>
      </c>
    </row>
    <row r="648" spans="8:8">
      <c r="H648" s="354">
        <v>26293.860799999999</v>
      </c>
    </row>
    <row r="649" spans="8:8">
      <c r="H649" s="354">
        <v>22152.148799999999</v>
      </c>
    </row>
    <row r="650" spans="8:8">
      <c r="H650" s="354">
        <v>26206.436799999999</v>
      </c>
    </row>
    <row r="651" spans="8:8">
      <c r="H651" s="354">
        <v>7676.92</v>
      </c>
    </row>
    <row r="652" spans="8:8">
      <c r="H652" s="354">
        <v>25254.608</v>
      </c>
    </row>
    <row r="653" spans="8:8">
      <c r="H653" s="354">
        <v>72143.377599999993</v>
      </c>
    </row>
    <row r="654" spans="8:8">
      <c r="H654" s="354">
        <v>37171.591999999997</v>
      </c>
    </row>
    <row r="655" spans="8:8">
      <c r="H655" s="354">
        <v>88498.222399999999</v>
      </c>
    </row>
    <row r="656" spans="8:8">
      <c r="H656" s="354">
        <v>1607.5088000000001</v>
      </c>
    </row>
    <row r="657" spans="8:8">
      <c r="H657" s="354">
        <v>10062.502399999999</v>
      </c>
    </row>
    <row r="658" spans="8:8">
      <c r="H658" s="354">
        <v>4289.24</v>
      </c>
    </row>
    <row r="659" spans="8:8">
      <c r="H659" s="354">
        <v>5426.8447999999999</v>
      </c>
    </row>
    <row r="660" spans="8:8">
      <c r="H660" s="354">
        <v>1668.7056</v>
      </c>
    </row>
    <row r="661" spans="8:8">
      <c r="H661" s="354">
        <v>10235.1648</v>
      </c>
    </row>
    <row r="662" spans="8:8">
      <c r="H662" s="354">
        <v>3646.6736000000001</v>
      </c>
    </row>
    <row r="663" spans="8:8">
      <c r="H663" s="354">
        <v>21311.785599999999</v>
      </c>
    </row>
    <row r="664" spans="8:8">
      <c r="H664" s="354">
        <v>50312.512000000002</v>
      </c>
    </row>
    <row r="665" spans="8:8">
      <c r="H665" s="354">
        <v>301651.04800000001</v>
      </c>
    </row>
    <row r="666" spans="8:8">
      <c r="H666" s="354">
        <v>73725.751999999993</v>
      </c>
    </row>
    <row r="667" spans="8:8">
      <c r="H667" s="354">
        <v>406788.24320000003</v>
      </c>
    </row>
    <row r="668" spans="8:8">
      <c r="H668" s="354">
        <v>40706.800000000003</v>
      </c>
    </row>
    <row r="669" spans="8:8">
      <c r="H669" s="354">
        <v>200866.47519999999</v>
      </c>
    </row>
    <row r="670" spans="8:8">
      <c r="H670" s="354">
        <v>2694.8447999999999</v>
      </c>
    </row>
    <row r="671" spans="8:8">
      <c r="H671" s="354">
        <v>16143.9344</v>
      </c>
    </row>
    <row r="672" spans="8:8">
      <c r="H672" s="354">
        <v>11533.4112</v>
      </c>
    </row>
    <row r="673" spans="8:8">
      <c r="H673" s="354">
        <v>89066.478399999993</v>
      </c>
    </row>
    <row r="674" spans="8:8">
      <c r="H674" s="354">
        <v>20150.139200000001</v>
      </c>
    </row>
    <row r="675" spans="8:8">
      <c r="H675" s="354">
        <v>100846.8624</v>
      </c>
    </row>
    <row r="676" spans="8:8">
      <c r="H676" s="354">
        <v>3621.5392000000002</v>
      </c>
    </row>
    <row r="677" spans="8:8">
      <c r="H677" s="354">
        <v>21991.5072</v>
      </c>
    </row>
    <row r="678" spans="8:8">
      <c r="H678" s="354">
        <v>4524.192</v>
      </c>
    </row>
    <row r="679" spans="8:8">
      <c r="H679" s="354">
        <v>30694.5664</v>
      </c>
    </row>
    <row r="680" spans="8:8">
      <c r="H680" s="354">
        <v>7367.6575999999995</v>
      </c>
    </row>
    <row r="681" spans="8:8">
      <c r="H681" s="354">
        <v>47950.9712</v>
      </c>
    </row>
    <row r="682" spans="8:8">
      <c r="H682" s="354">
        <v>6960.0432000000001</v>
      </c>
    </row>
    <row r="683" spans="8:8">
      <c r="H683" s="354">
        <v>62958.393600000003</v>
      </c>
    </row>
    <row r="684" spans="8:8">
      <c r="H684" s="354">
        <v>10371.764800000001</v>
      </c>
    </row>
    <row r="685" spans="8:8">
      <c r="H685" s="354">
        <v>77026.008000000002</v>
      </c>
    </row>
    <row r="686" spans="8:8">
      <c r="H686" s="354">
        <v>8405.8176000000003</v>
      </c>
    </row>
    <row r="687" spans="8:8">
      <c r="H687" s="354">
        <v>90611.6976</v>
      </c>
    </row>
    <row r="688" spans="8:8">
      <c r="H688" s="354">
        <v>79770.0288</v>
      </c>
    </row>
    <row r="689" spans="8:8">
      <c r="H689" s="354">
        <v>33673.539199999999</v>
      </c>
    </row>
    <row r="690" spans="8:8">
      <c r="H690" s="354">
        <v>470896.26240000001</v>
      </c>
    </row>
    <row r="691" spans="8:8">
      <c r="H691" s="354">
        <v>33599.228799999997</v>
      </c>
    </row>
    <row r="692" spans="8:8">
      <c r="H692" s="354">
        <v>523298.20799999998</v>
      </c>
    </row>
    <row r="693" spans="8:8">
      <c r="H693" s="354">
        <v>60140.062400000003</v>
      </c>
    </row>
    <row r="694" spans="8:8">
      <c r="H694" s="354">
        <v>1029597.912</v>
      </c>
    </row>
    <row r="695" spans="8:8">
      <c r="H695" s="354">
        <v>59682.179199999999</v>
      </c>
    </row>
    <row r="696" spans="8:8">
      <c r="H696" s="354">
        <v>993575.94559999998</v>
      </c>
    </row>
    <row r="697" spans="8:8">
      <c r="H697" s="354">
        <v>12126.801600000001</v>
      </c>
    </row>
    <row r="698" spans="8:8">
      <c r="H698" s="354">
        <v>112430.54240000001</v>
      </c>
    </row>
    <row r="699" spans="8:8">
      <c r="H699" s="354">
        <v>16899.0592</v>
      </c>
    </row>
    <row r="700" spans="8:8">
      <c r="H700" s="354">
        <v>253848.69759999998</v>
      </c>
    </row>
    <row r="701" spans="8:8">
      <c r="H701" s="354">
        <v>58656.04</v>
      </c>
    </row>
    <row r="702" spans="8:8">
      <c r="H702" s="354">
        <v>703903.0784</v>
      </c>
    </row>
    <row r="703" spans="8:8">
      <c r="H703" s="354">
        <v>63588.939200000001</v>
      </c>
    </row>
    <row r="704" spans="8:8">
      <c r="H704" s="354">
        <v>763980.85120000003</v>
      </c>
    </row>
    <row r="705" spans="8:8">
      <c r="H705" s="354">
        <v>68545.88</v>
      </c>
    </row>
    <row r="706" spans="8:8">
      <c r="H706" s="354">
        <v>844678.66720000003</v>
      </c>
    </row>
    <row r="707" spans="8:8">
      <c r="H707" s="354">
        <v>16873.924800000001</v>
      </c>
    </row>
    <row r="708" spans="8:8">
      <c r="H708" s="354">
        <v>389765.69760000001</v>
      </c>
    </row>
    <row r="709" spans="8:8">
      <c r="H709" s="354">
        <v>19815.742399999999</v>
      </c>
    </row>
    <row r="710" spans="8:8">
      <c r="H710" s="354">
        <v>228024.7408</v>
      </c>
    </row>
    <row r="711" spans="8:8">
      <c r="H711" s="354">
        <v>32486.758399999999</v>
      </c>
    </row>
    <row r="712" spans="8:8">
      <c r="H712" s="354">
        <v>302244.43839999998</v>
      </c>
    </row>
    <row r="713" spans="8:8">
      <c r="H713" s="354">
        <v>89201.9856</v>
      </c>
    </row>
    <row r="714" spans="8:8">
      <c r="H714" s="354">
        <v>89350.606400000004</v>
      </c>
    </row>
    <row r="715" spans="8:8">
      <c r="H715" s="354">
        <v>88917.857600000003</v>
      </c>
    </row>
    <row r="716" spans="8:8">
      <c r="H716" s="354">
        <v>89436.937600000005</v>
      </c>
    </row>
    <row r="717" spans="8:8">
      <c r="H717" s="354">
        <v>118993.8992</v>
      </c>
    </row>
    <row r="718" spans="8:8">
      <c r="H718" s="354">
        <v>119365.4512</v>
      </c>
    </row>
    <row r="719" spans="8:8">
      <c r="H719" s="354">
        <v>118784.0816</v>
      </c>
    </row>
    <row r="720" spans="8:8">
      <c r="H720" s="354">
        <v>118450.7776</v>
      </c>
    </row>
    <row r="721" spans="8:8">
      <c r="H721" s="354">
        <v>151666.43359999999</v>
      </c>
    </row>
    <row r="722" spans="8:8">
      <c r="H722" s="354">
        <v>152593.128</v>
      </c>
    </row>
    <row r="723" spans="8:8">
      <c r="H723" s="354">
        <v>152667.43840000001</v>
      </c>
    </row>
    <row r="724" spans="8:8">
      <c r="H724" s="354">
        <v>152050.00640000001</v>
      </c>
    </row>
    <row r="725" spans="8:8">
      <c r="H725" s="354">
        <v>303456.35359999997</v>
      </c>
    </row>
    <row r="726" spans="8:8">
      <c r="H726" s="354">
        <v>302134.06559999997</v>
      </c>
    </row>
    <row r="727" spans="8:8">
      <c r="H727" s="354">
        <v>302492.50400000002</v>
      </c>
    </row>
    <row r="728" spans="8:8">
      <c r="H728" s="354">
        <v>302912.13919999998</v>
      </c>
    </row>
    <row r="729" spans="8:8">
      <c r="H729" s="354">
        <v>769061.27839999995</v>
      </c>
    </row>
    <row r="730" spans="8:8">
      <c r="H730" s="354">
        <v>769061.27839999995</v>
      </c>
    </row>
    <row r="731" spans="8:8">
      <c r="H731" s="354">
        <v>770866.58400000003</v>
      </c>
    </row>
    <row r="732" spans="8:8">
      <c r="H732" s="354">
        <v>1059526.4256</v>
      </c>
    </row>
    <row r="733" spans="8:8">
      <c r="H733" s="354">
        <v>1062529.44</v>
      </c>
    </row>
    <row r="734" spans="8:8">
      <c r="H734" s="354">
        <v>1062368.7984</v>
      </c>
    </row>
    <row r="735" spans="8:8">
      <c r="H735" s="354">
        <v>2398871.9408</v>
      </c>
    </row>
    <row r="736" spans="8:8">
      <c r="H736" s="354">
        <v>2395571.6847999999</v>
      </c>
    </row>
    <row r="737" spans="8:8">
      <c r="H737" s="354">
        <v>2392271.4287999999</v>
      </c>
    </row>
    <row r="738" spans="8:8">
      <c r="H738" s="354">
        <v>5778724.2143999999</v>
      </c>
    </row>
    <row r="739" spans="8:8">
      <c r="H739" s="354">
        <v>5767054.2032000003</v>
      </c>
    </row>
    <row r="740" spans="8:8">
      <c r="H740" s="354">
        <v>5772654.8032</v>
      </c>
    </row>
    <row r="741" spans="8:8">
      <c r="H741" s="354">
        <v>8874045.2447999995</v>
      </c>
    </row>
    <row r="742" spans="8:8">
      <c r="H742" s="354">
        <v>8750243.0255999994</v>
      </c>
    </row>
    <row r="743" spans="8:8">
      <c r="H743" s="354">
        <v>504421.18079999997</v>
      </c>
    </row>
    <row r="744" spans="8:8">
      <c r="H744" s="354">
        <v>542359.91839999997</v>
      </c>
    </row>
    <row r="745" spans="8:8">
      <c r="H745" s="354">
        <v>925993.91520000005</v>
      </c>
    </row>
    <row r="746" spans="8:8">
      <c r="H746" s="354">
        <v>1215964.024</v>
      </c>
    </row>
    <row r="747" spans="8:8">
      <c r="H747" s="354">
        <v>1286511.9136000001</v>
      </c>
    </row>
    <row r="748" spans="8:8">
      <c r="H748" s="354">
        <v>1306439.1216</v>
      </c>
    </row>
    <row r="749" spans="8:8">
      <c r="H749" s="354">
        <v>90895.825599999996</v>
      </c>
    </row>
    <row r="750" spans="8:8">
      <c r="H750" s="354">
        <v>89103.633600000001</v>
      </c>
    </row>
    <row r="751" spans="8:8">
      <c r="H751" s="354">
        <v>33562.073600000003</v>
      </c>
    </row>
    <row r="752" spans="8:8">
      <c r="H752" s="354">
        <v>23920.299200000001</v>
      </c>
    </row>
    <row r="753" spans="8:8">
      <c r="H753" s="354">
        <v>88955.012799999997</v>
      </c>
    </row>
    <row r="754" spans="8:8">
      <c r="H754" s="354">
        <v>119278.0272</v>
      </c>
    </row>
    <row r="755" spans="8:8">
      <c r="H755" s="354">
        <v>125150.7344</v>
      </c>
    </row>
    <row r="756" spans="8:8">
      <c r="H756" s="354">
        <v>125162.7552</v>
      </c>
    </row>
    <row r="757" spans="8:8">
      <c r="H757" s="354">
        <v>61029.601600000002</v>
      </c>
    </row>
    <row r="758" spans="8:8">
      <c r="H758" s="354">
        <v>84233.024000000005</v>
      </c>
    </row>
    <row r="759" spans="8:8">
      <c r="H759" s="354">
        <v>219322.77439999999</v>
      </c>
    </row>
    <row r="760" spans="8:8">
      <c r="H760" s="354">
        <v>154410.45439999999</v>
      </c>
    </row>
    <row r="761" spans="8:8">
      <c r="H761" s="354">
        <v>95840.745599999995</v>
      </c>
    </row>
    <row r="762" spans="8:8">
      <c r="H762" s="354">
        <v>231968.65599999999</v>
      </c>
    </row>
    <row r="763" spans="8:8">
      <c r="H763" s="354">
        <v>72674.478399999993</v>
      </c>
    </row>
    <row r="764" spans="8:8">
      <c r="H764" s="354">
        <v>159206.7536</v>
      </c>
    </row>
    <row r="765" spans="8:8">
      <c r="H765" s="354">
        <v>161901.59839999999</v>
      </c>
    </row>
    <row r="766" spans="8:8">
      <c r="H766" s="354">
        <v>180320.74239999999</v>
      </c>
    </row>
    <row r="767" spans="8:8">
      <c r="H767" s="354">
        <v>46814.459199999998</v>
      </c>
    </row>
    <row r="768" spans="8:8">
      <c r="H768" s="354">
        <v>144966.4768</v>
      </c>
    </row>
    <row r="769" spans="8:8">
      <c r="H769" s="354">
        <v>3377428.4432000001</v>
      </c>
    </row>
    <row r="770" spans="8:8">
      <c r="H770" s="354">
        <v>2017388.5744</v>
      </c>
    </row>
    <row r="771" spans="8:8">
      <c r="H771" s="354">
        <v>69325.046400000007</v>
      </c>
    </row>
    <row r="772" spans="8:8">
      <c r="H772" s="354">
        <v>1342572.5536</v>
      </c>
    </row>
    <row r="773" spans="8:8">
      <c r="H773" s="354">
        <v>72167.419200000004</v>
      </c>
    </row>
    <row r="774" spans="8:8">
      <c r="H774" s="354">
        <v>1487910.5824</v>
      </c>
    </row>
    <row r="775" spans="8:8">
      <c r="H775" s="354">
        <v>80944.788799999995</v>
      </c>
    </row>
    <row r="776" spans="8:8">
      <c r="H776" s="354">
        <v>1573329.2944</v>
      </c>
    </row>
    <row r="777" spans="8:8">
      <c r="H777" s="354">
        <v>3972733.4287999999</v>
      </c>
    </row>
    <row r="778" spans="8:8">
      <c r="H778" s="354">
        <v>91019.312000000005</v>
      </c>
    </row>
    <row r="779" spans="8:8">
      <c r="H779" s="354">
        <v>2890672.3744000001</v>
      </c>
    </row>
    <row r="780" spans="8:8">
      <c r="H780" s="354">
        <v>119500.9584</v>
      </c>
    </row>
    <row r="781" spans="8:8">
      <c r="H781" s="354">
        <v>4104065.04</v>
      </c>
    </row>
    <row r="782" spans="8:8">
      <c r="H782" s="354">
        <v>20150.139200000001</v>
      </c>
    </row>
    <row r="783" spans="8:8">
      <c r="H783" s="354">
        <v>360852.39519999997</v>
      </c>
    </row>
    <row r="784" spans="8:8">
      <c r="H784" s="354">
        <v>17207.228800000001</v>
      </c>
    </row>
    <row r="785" spans="8:8">
      <c r="H785" s="354">
        <v>241017.04</v>
      </c>
    </row>
    <row r="786" spans="8:8">
      <c r="H786" s="354">
        <v>765439.73919999995</v>
      </c>
    </row>
    <row r="787" spans="8:8">
      <c r="H787" s="354">
        <v>897574.55839999998</v>
      </c>
    </row>
    <row r="788" spans="8:8">
      <c r="H788" s="354">
        <v>98510.456000000006</v>
      </c>
    </row>
    <row r="789" spans="8:8">
      <c r="H789" s="354">
        <v>2304231.0896000001</v>
      </c>
    </row>
    <row r="790" spans="8:8">
      <c r="H790" s="354">
        <v>183299.71520000001</v>
      </c>
    </row>
    <row r="791" spans="8:8">
      <c r="H791" s="354">
        <v>4061169.3615999999</v>
      </c>
    </row>
    <row r="792" spans="8:8">
      <c r="H792" s="354">
        <v>268868.14079999999</v>
      </c>
    </row>
    <row r="793" spans="8:8">
      <c r="H793" s="354">
        <v>5684021.0735999998</v>
      </c>
    </row>
    <row r="794" spans="8:8">
      <c r="H794" s="354">
        <v>280278.06559999997</v>
      </c>
    </row>
    <row r="795" spans="8:8">
      <c r="H795" s="354">
        <v>6117634.2784000002</v>
      </c>
    </row>
    <row r="796" spans="8:8">
      <c r="H796" s="354">
        <v>260325.72320000001</v>
      </c>
    </row>
    <row r="797" spans="8:8">
      <c r="H797" s="354">
        <v>7839786.5407999996</v>
      </c>
    </row>
    <row r="798" spans="8:8">
      <c r="H798" s="354">
        <v>219062.68799999999</v>
      </c>
    </row>
    <row r="799" spans="8:8">
      <c r="H799" s="354">
        <v>5808837.4112</v>
      </c>
    </row>
    <row r="800" spans="8:8">
      <c r="H800" s="354">
        <v>467002.61599999998</v>
      </c>
    </row>
    <row r="801" spans="8:8">
      <c r="H801" s="354">
        <v>9135669.2144000009</v>
      </c>
    </row>
    <row r="802" spans="8:8">
      <c r="H802" s="354">
        <v>463182.18719999999</v>
      </c>
    </row>
    <row r="803" spans="8:8">
      <c r="H803" s="354">
        <v>10079378.510399999</v>
      </c>
    </row>
    <row r="804" spans="8:8">
      <c r="H804" s="354">
        <v>212176.9552</v>
      </c>
    </row>
    <row r="805" spans="8:8">
      <c r="H805" s="354">
        <v>4323930.9359999998</v>
      </c>
    </row>
    <row r="806" spans="8:8">
      <c r="H806" s="354">
        <v>33685.56</v>
      </c>
    </row>
    <row r="807" spans="8:8">
      <c r="H807" s="354">
        <v>6793884.0527999997</v>
      </c>
    </row>
    <row r="808" spans="8:8">
      <c r="H808" s="354">
        <v>1564590.1728000001</v>
      </c>
    </row>
    <row r="809" spans="8:8">
      <c r="H809" s="354">
        <v>6981658.784</v>
      </c>
    </row>
    <row r="810" spans="8:8">
      <c r="H810" s="354">
        <v>312913.4448</v>
      </c>
    </row>
    <row r="811" spans="8:8">
      <c r="H811" s="354">
        <v>8242124.9024</v>
      </c>
    </row>
    <row r="812" spans="8:8">
      <c r="H812" s="354">
        <v>268064.93280000001</v>
      </c>
    </row>
    <row r="813" spans="8:8">
      <c r="H813" s="354">
        <v>5055586.7631999999</v>
      </c>
    </row>
    <row r="814" spans="8:8">
      <c r="H814" s="354">
        <v>156376.40160000001</v>
      </c>
    </row>
    <row r="815" spans="8:8">
      <c r="H815" s="354">
        <v>2829754.2384000001</v>
      </c>
    </row>
  </sheetData>
  <mergeCells count="28">
    <mergeCell ref="B7:C7"/>
    <mergeCell ref="B2:C2"/>
    <mergeCell ref="B3:C3"/>
    <mergeCell ref="B4:C4"/>
    <mergeCell ref="A5:C5"/>
    <mergeCell ref="B6:C6"/>
    <mergeCell ref="A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A29:B29"/>
    <mergeCell ref="B20:C20"/>
    <mergeCell ref="B21:C21"/>
    <mergeCell ref="B22:C22"/>
    <mergeCell ref="B23:C23"/>
    <mergeCell ref="B24:C24"/>
    <mergeCell ref="B25:C25"/>
  </mergeCells>
  <phoneticPr fontId="4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Y437"/>
  <sheetViews>
    <sheetView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N122" sqref="N122"/>
    </sheetView>
  </sheetViews>
  <sheetFormatPr baseColWidth="10" defaultColWidth="11.42578125" defaultRowHeight="9"/>
  <cols>
    <col min="1" max="1" width="5.140625" style="354" customWidth="1"/>
    <col min="2" max="2" width="42" style="354" customWidth="1"/>
    <col min="3" max="3" width="9.7109375" style="354" customWidth="1"/>
    <col min="4" max="16384" width="11.42578125" style="354"/>
  </cols>
  <sheetData>
    <row r="1" spans="1:25">
      <c r="D1" s="501" t="s">
        <v>607</v>
      </c>
      <c r="E1" s="501" t="s">
        <v>608</v>
      </c>
      <c r="F1" s="501" t="s">
        <v>609</v>
      </c>
      <c r="G1" s="502" t="s">
        <v>610</v>
      </c>
      <c r="H1" s="502" t="s">
        <v>611</v>
      </c>
      <c r="I1" s="502" t="s">
        <v>612</v>
      </c>
      <c r="J1" s="502" t="s">
        <v>613</v>
      </c>
      <c r="K1" s="502" t="s">
        <v>614</v>
      </c>
      <c r="L1" s="502" t="s">
        <v>615</v>
      </c>
      <c r="M1" s="502" t="s">
        <v>616</v>
      </c>
      <c r="N1" s="502" t="s">
        <v>617</v>
      </c>
      <c r="O1" s="502" t="s">
        <v>618</v>
      </c>
      <c r="P1" s="502" t="s">
        <v>619</v>
      </c>
      <c r="Q1" s="502" t="s">
        <v>620</v>
      </c>
      <c r="R1" s="502" t="s">
        <v>621</v>
      </c>
      <c r="S1" s="502" t="s">
        <v>622</v>
      </c>
      <c r="T1" s="502" t="s">
        <v>623</v>
      </c>
      <c r="U1" s="502" t="s">
        <v>624</v>
      </c>
    </row>
    <row r="2" spans="1:25">
      <c r="A2" s="348" t="s">
        <v>0</v>
      </c>
      <c r="B2" s="547" t="s">
        <v>1</v>
      </c>
      <c r="C2" s="548"/>
    </row>
    <row r="3" spans="1:25">
      <c r="A3" s="349">
        <v>1</v>
      </c>
      <c r="B3" s="541" t="s">
        <v>2</v>
      </c>
      <c r="C3" s="542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</row>
    <row r="4" spans="1:25">
      <c r="A4" s="349">
        <v>2</v>
      </c>
      <c r="B4" s="538" t="s">
        <v>3</v>
      </c>
      <c r="C4" s="539"/>
      <c r="D4" s="356">
        <v>223</v>
      </c>
      <c r="E4" s="356">
        <v>210</v>
      </c>
      <c r="F4" s="356">
        <v>210</v>
      </c>
      <c r="G4" s="356">
        <v>210</v>
      </c>
      <c r="H4" s="356">
        <v>210</v>
      </c>
      <c r="I4" s="356">
        <v>223</v>
      </c>
      <c r="J4" s="356">
        <v>209.8176</v>
      </c>
      <c r="K4" s="356">
        <v>209.8176</v>
      </c>
      <c r="L4" s="356">
        <v>210</v>
      </c>
      <c r="M4" s="356">
        <v>223</v>
      </c>
      <c r="N4" s="356">
        <v>191</v>
      </c>
      <c r="O4" s="356">
        <v>470</v>
      </c>
      <c r="P4" s="356">
        <v>470</v>
      </c>
      <c r="Q4" s="356">
        <v>470</v>
      </c>
      <c r="R4" s="356">
        <v>469.904</v>
      </c>
      <c r="S4" s="356">
        <v>470</v>
      </c>
      <c r="T4" s="356">
        <v>470</v>
      </c>
      <c r="U4" s="356">
        <v>470</v>
      </c>
    </row>
    <row r="5" spans="1:25">
      <c r="A5" s="543" t="s">
        <v>17</v>
      </c>
      <c r="B5" s="544"/>
      <c r="C5" s="544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</row>
    <row r="6" spans="1:25">
      <c r="A6" s="350">
        <v>1</v>
      </c>
      <c r="B6" s="541" t="s">
        <v>4</v>
      </c>
      <c r="C6" s="542"/>
      <c r="D6" s="357">
        <v>2627978</v>
      </c>
      <c r="E6" s="357">
        <v>2627978</v>
      </c>
      <c r="F6" s="357">
        <v>2627978</v>
      </c>
      <c r="G6" s="357">
        <v>2627978</v>
      </c>
      <c r="H6" s="357">
        <v>2627978</v>
      </c>
      <c r="I6" s="357">
        <v>2627978</v>
      </c>
      <c r="J6" s="357">
        <v>2627977.6200999999</v>
      </c>
      <c r="K6" s="357">
        <v>2627977.6200999999</v>
      </c>
      <c r="L6" s="357">
        <v>2627978</v>
      </c>
      <c r="M6" s="357">
        <v>2627978</v>
      </c>
      <c r="N6" s="357">
        <v>2627978</v>
      </c>
      <c r="O6" s="357">
        <v>2627978</v>
      </c>
      <c r="P6" s="357">
        <v>2627978</v>
      </c>
      <c r="Q6" s="357">
        <v>2627978</v>
      </c>
      <c r="R6" s="357">
        <v>2627977.6200999999</v>
      </c>
      <c r="S6" s="357">
        <v>2627978</v>
      </c>
      <c r="T6" s="357">
        <v>2627978</v>
      </c>
      <c r="U6" s="357">
        <v>2627978</v>
      </c>
      <c r="X6" s="357"/>
      <c r="Y6" s="357"/>
    </row>
    <row r="7" spans="1:25">
      <c r="A7" s="349">
        <v>2</v>
      </c>
      <c r="B7" s="538" t="s">
        <v>5</v>
      </c>
      <c r="C7" s="539"/>
      <c r="D7" s="357">
        <v>2465868</v>
      </c>
      <c r="E7" s="357">
        <v>2465868</v>
      </c>
      <c r="F7" s="357">
        <v>2465868</v>
      </c>
      <c r="G7" s="357">
        <v>2465868</v>
      </c>
      <c r="H7" s="357">
        <v>2465868</v>
      </c>
      <c r="I7" s="357">
        <v>2465868</v>
      </c>
      <c r="J7" s="357">
        <v>2465868.3651000001</v>
      </c>
      <c r="K7" s="357">
        <v>2465868.3651000001</v>
      </c>
      <c r="L7" s="357">
        <v>2465868</v>
      </c>
      <c r="M7" s="357">
        <v>2465868</v>
      </c>
      <c r="N7" s="357">
        <v>2465868</v>
      </c>
      <c r="O7" s="357">
        <v>2465868</v>
      </c>
      <c r="P7" s="357">
        <v>2465868</v>
      </c>
      <c r="Q7" s="357">
        <v>2465868</v>
      </c>
      <c r="R7" s="357">
        <v>2465868.3651000001</v>
      </c>
      <c r="S7" s="357">
        <v>2465868</v>
      </c>
      <c r="T7" s="357">
        <v>2465868</v>
      </c>
      <c r="U7" s="357">
        <v>2465868</v>
      </c>
      <c r="X7" s="357"/>
      <c r="Y7" s="357"/>
    </row>
    <row r="8" spans="1:25">
      <c r="A8" s="349">
        <v>3</v>
      </c>
      <c r="B8" s="538" t="s">
        <v>6</v>
      </c>
      <c r="C8" s="539"/>
      <c r="D8" s="357">
        <v>2465868</v>
      </c>
      <c r="E8" s="357">
        <v>2465868</v>
      </c>
      <c r="F8" s="357">
        <v>2465868</v>
      </c>
      <c r="G8" s="357">
        <v>2465868</v>
      </c>
      <c r="H8" s="357">
        <v>2465868</v>
      </c>
      <c r="I8" s="357">
        <v>2465868</v>
      </c>
      <c r="J8" s="357">
        <v>2465868.3651000001</v>
      </c>
      <c r="K8" s="357">
        <v>2465868.3651000001</v>
      </c>
      <c r="L8" s="357">
        <v>2465868</v>
      </c>
      <c r="M8" s="357">
        <v>2465868</v>
      </c>
      <c r="N8" s="357">
        <v>2465868</v>
      </c>
      <c r="O8" s="357">
        <v>2465868</v>
      </c>
      <c r="P8" s="357">
        <v>2465868</v>
      </c>
      <c r="Q8" s="357">
        <v>2465868</v>
      </c>
      <c r="R8" s="357">
        <v>2465868.3651000001</v>
      </c>
      <c r="S8" s="357">
        <v>2465868</v>
      </c>
      <c r="T8" s="357">
        <v>2465868</v>
      </c>
      <c r="U8" s="357">
        <v>2465868</v>
      </c>
      <c r="X8" s="357"/>
      <c r="Y8" s="357"/>
    </row>
    <row r="9" spans="1:25">
      <c r="A9" s="349">
        <v>4</v>
      </c>
      <c r="B9" s="538" t="s">
        <v>7</v>
      </c>
      <c r="C9" s="539"/>
      <c r="D9" s="357">
        <v>2465868</v>
      </c>
      <c r="E9" s="357">
        <v>2465868</v>
      </c>
      <c r="F9" s="357">
        <v>2465868</v>
      </c>
      <c r="G9" s="357">
        <v>2465868</v>
      </c>
      <c r="H9" s="357">
        <v>2465868</v>
      </c>
      <c r="I9" s="357">
        <v>2465868</v>
      </c>
      <c r="J9" s="357">
        <v>2465868.3651000001</v>
      </c>
      <c r="K9" s="357">
        <v>2465868.3651000001</v>
      </c>
      <c r="L9" s="357">
        <v>2465868</v>
      </c>
      <c r="M9" s="357">
        <v>2465868</v>
      </c>
      <c r="N9" s="357">
        <v>2465868</v>
      </c>
      <c r="O9" s="357">
        <v>2465868</v>
      </c>
      <c r="P9" s="357">
        <v>2465868</v>
      </c>
      <c r="Q9" s="357">
        <v>2465868</v>
      </c>
      <c r="R9" s="357">
        <v>2465868.3651000001</v>
      </c>
      <c r="S9" s="357">
        <v>2465868</v>
      </c>
      <c r="T9" s="357">
        <v>2465868</v>
      </c>
      <c r="U9" s="357">
        <v>2465868</v>
      </c>
      <c r="X9" s="357"/>
      <c r="Y9" s="357"/>
    </row>
    <row r="10" spans="1:25">
      <c r="A10" s="349">
        <v>5</v>
      </c>
      <c r="B10" s="538" t="s">
        <v>8</v>
      </c>
      <c r="C10" s="539"/>
      <c r="D10" s="357">
        <v>2465868</v>
      </c>
      <c r="E10" s="357">
        <v>2465868</v>
      </c>
      <c r="F10" s="357">
        <v>2465868</v>
      </c>
      <c r="G10" s="357">
        <v>2465868</v>
      </c>
      <c r="H10" s="357">
        <v>2465868</v>
      </c>
      <c r="I10" s="357">
        <v>2465868</v>
      </c>
      <c r="J10" s="357">
        <v>2465868.3651000001</v>
      </c>
      <c r="K10" s="357">
        <v>2465868.3651000001</v>
      </c>
      <c r="L10" s="357">
        <v>2465868</v>
      </c>
      <c r="M10" s="357">
        <v>2465868</v>
      </c>
      <c r="N10" s="357">
        <v>2465868</v>
      </c>
      <c r="O10" s="357">
        <v>2465868</v>
      </c>
      <c r="P10" s="357">
        <v>2465868</v>
      </c>
      <c r="Q10" s="357">
        <v>2465868</v>
      </c>
      <c r="R10" s="357">
        <v>2465868.3651000001</v>
      </c>
      <c r="S10" s="357">
        <v>2465868</v>
      </c>
      <c r="T10" s="357">
        <v>2465868</v>
      </c>
      <c r="U10" s="357">
        <v>2465868</v>
      </c>
      <c r="X10" s="357"/>
      <c r="Y10" s="357"/>
    </row>
    <row r="11" spans="1:25">
      <c r="A11" s="349">
        <v>6</v>
      </c>
      <c r="B11" s="538" t="s">
        <v>9</v>
      </c>
      <c r="C11" s="539"/>
      <c r="D11" s="357">
        <v>2465868</v>
      </c>
      <c r="E11" s="357">
        <v>2465868</v>
      </c>
      <c r="F11" s="357">
        <v>2465868</v>
      </c>
      <c r="G11" s="357">
        <v>2465868</v>
      </c>
      <c r="H11" s="357">
        <v>2465868</v>
      </c>
      <c r="I11" s="357">
        <v>2465868</v>
      </c>
      <c r="J11" s="357">
        <v>2465868.3651000001</v>
      </c>
      <c r="K11" s="357">
        <v>2465868.3651000001</v>
      </c>
      <c r="L11" s="357">
        <v>2465868</v>
      </c>
      <c r="M11" s="357">
        <v>2465868</v>
      </c>
      <c r="N11" s="357">
        <v>2465868</v>
      </c>
      <c r="O11" s="357">
        <v>2465868</v>
      </c>
      <c r="P11" s="357">
        <v>2465868</v>
      </c>
      <c r="Q11" s="357">
        <v>2465868</v>
      </c>
      <c r="R11" s="357">
        <v>2465868.3651000001</v>
      </c>
      <c r="S11" s="357">
        <v>2465868</v>
      </c>
      <c r="T11" s="357">
        <v>2465868</v>
      </c>
      <c r="U11" s="357">
        <v>2465868</v>
      </c>
      <c r="X11" s="357"/>
      <c r="Y11" s="357"/>
    </row>
    <row r="12" spans="1:25">
      <c r="A12" s="349">
        <v>7</v>
      </c>
      <c r="B12" s="538" t="s">
        <v>10</v>
      </c>
      <c r="C12" s="539"/>
      <c r="D12" s="357">
        <v>2465868</v>
      </c>
      <c r="E12" s="357">
        <v>2465868</v>
      </c>
      <c r="F12" s="357">
        <v>2465868</v>
      </c>
      <c r="G12" s="357">
        <v>2465868</v>
      </c>
      <c r="H12" s="357">
        <v>2465868</v>
      </c>
      <c r="I12" s="357">
        <v>2465868</v>
      </c>
      <c r="J12" s="357">
        <v>2465868.3651000001</v>
      </c>
      <c r="K12" s="357">
        <v>2465868.3651000001</v>
      </c>
      <c r="L12" s="357">
        <v>2465868</v>
      </c>
      <c r="M12" s="357">
        <v>2465868</v>
      </c>
      <c r="N12" s="357">
        <v>2465868</v>
      </c>
      <c r="O12" s="357">
        <v>2465868</v>
      </c>
      <c r="P12" s="357">
        <v>2465868</v>
      </c>
      <c r="Q12" s="357">
        <v>2465868</v>
      </c>
      <c r="R12" s="357">
        <v>2465868.3651000001</v>
      </c>
      <c r="S12" s="357">
        <v>2465868</v>
      </c>
      <c r="T12" s="357">
        <v>2465868</v>
      </c>
      <c r="U12" s="357">
        <v>2465868</v>
      </c>
      <c r="X12" s="357"/>
      <c r="Y12" s="357"/>
    </row>
    <row r="13" spans="1:25">
      <c r="A13" s="349">
        <v>8</v>
      </c>
      <c r="B13" s="538" t="s">
        <v>11</v>
      </c>
      <c r="C13" s="539"/>
      <c r="D13" s="357">
        <v>2465868</v>
      </c>
      <c r="E13" s="357">
        <v>2465868</v>
      </c>
      <c r="F13" s="357">
        <v>2465868</v>
      </c>
      <c r="G13" s="357">
        <v>2465868</v>
      </c>
      <c r="H13" s="357">
        <v>2465868</v>
      </c>
      <c r="I13" s="357">
        <v>2465868</v>
      </c>
      <c r="J13" s="357">
        <v>2465868.3651000001</v>
      </c>
      <c r="K13" s="357">
        <v>2465868.3651000001</v>
      </c>
      <c r="L13" s="357">
        <v>2465868</v>
      </c>
      <c r="M13" s="357">
        <v>2465868</v>
      </c>
      <c r="N13" s="357">
        <v>2465868</v>
      </c>
      <c r="O13" s="357">
        <v>2465868</v>
      </c>
      <c r="P13" s="357">
        <v>2465868</v>
      </c>
      <c r="Q13" s="357">
        <v>2465868</v>
      </c>
      <c r="R13" s="357">
        <v>2465868.3651000001</v>
      </c>
      <c r="S13" s="357">
        <v>2465868</v>
      </c>
      <c r="T13" s="357">
        <v>2465868</v>
      </c>
      <c r="U13" s="357">
        <v>2465868</v>
      </c>
      <c r="X13" s="357"/>
      <c r="Y13" s="357"/>
    </row>
    <row r="14" spans="1:25">
      <c r="A14" s="349">
        <v>9</v>
      </c>
      <c r="B14" s="538" t="s">
        <v>12</v>
      </c>
      <c r="C14" s="539"/>
      <c r="D14" s="357">
        <v>2465868</v>
      </c>
      <c r="E14" s="357">
        <v>2465868</v>
      </c>
      <c r="F14" s="357">
        <v>2465868</v>
      </c>
      <c r="G14" s="357">
        <v>2465868</v>
      </c>
      <c r="H14" s="357">
        <v>2465868</v>
      </c>
      <c r="I14" s="357">
        <v>2465868</v>
      </c>
      <c r="J14" s="357">
        <v>2465868.3651000001</v>
      </c>
      <c r="K14" s="357">
        <v>2465868.3651000001</v>
      </c>
      <c r="L14" s="357">
        <v>2465868</v>
      </c>
      <c r="M14" s="357">
        <v>2465868</v>
      </c>
      <c r="N14" s="357">
        <v>2465868</v>
      </c>
      <c r="O14" s="357">
        <v>2465868</v>
      </c>
      <c r="P14" s="357">
        <v>2465868</v>
      </c>
      <c r="Q14" s="357">
        <v>2465868</v>
      </c>
      <c r="R14" s="357">
        <v>2465868.3651000001</v>
      </c>
      <c r="S14" s="357">
        <v>2465868</v>
      </c>
      <c r="T14" s="357">
        <v>2465868</v>
      </c>
      <c r="U14" s="357">
        <v>2465868</v>
      </c>
      <c r="X14" s="357"/>
      <c r="Y14" s="357"/>
    </row>
    <row r="15" spans="1:25">
      <c r="A15" s="349">
        <v>10</v>
      </c>
      <c r="B15" s="538" t="s">
        <v>13</v>
      </c>
      <c r="C15" s="539"/>
      <c r="D15" s="357">
        <v>2465868</v>
      </c>
      <c r="E15" s="357">
        <v>2465868</v>
      </c>
      <c r="F15" s="357">
        <v>2465868</v>
      </c>
      <c r="G15" s="357">
        <v>2465868</v>
      </c>
      <c r="H15" s="357">
        <v>2465868</v>
      </c>
      <c r="I15" s="357">
        <v>2465868</v>
      </c>
      <c r="J15" s="357">
        <v>2465868.3651000001</v>
      </c>
      <c r="K15" s="357">
        <v>2465868.3651000001</v>
      </c>
      <c r="L15" s="357">
        <v>2465868</v>
      </c>
      <c r="M15" s="357">
        <v>2465868</v>
      </c>
      <c r="N15" s="357">
        <v>2465868</v>
      </c>
      <c r="O15" s="357">
        <v>2465868</v>
      </c>
      <c r="P15" s="357">
        <v>2465868</v>
      </c>
      <c r="Q15" s="357">
        <v>2465868</v>
      </c>
      <c r="R15" s="357">
        <v>2465868.3651000001</v>
      </c>
      <c r="S15" s="357">
        <v>2465868</v>
      </c>
      <c r="T15" s="357">
        <v>2465868</v>
      </c>
      <c r="U15" s="357">
        <v>2465868</v>
      </c>
      <c r="X15" s="357"/>
      <c r="Y15" s="357"/>
    </row>
    <row r="16" spans="1:25">
      <c r="A16" s="349">
        <v>11</v>
      </c>
      <c r="B16" s="538" t="s">
        <v>14</v>
      </c>
      <c r="C16" s="539"/>
      <c r="D16" s="357">
        <v>82196</v>
      </c>
      <c r="E16" s="357">
        <v>82196</v>
      </c>
      <c r="F16" s="357">
        <v>82196</v>
      </c>
      <c r="G16" s="357">
        <v>82196</v>
      </c>
      <c r="H16" s="357">
        <v>82196</v>
      </c>
      <c r="I16" s="357">
        <v>82196</v>
      </c>
      <c r="J16" s="357">
        <v>82195.500100000005</v>
      </c>
      <c r="K16" s="357">
        <v>82195.500100000005</v>
      </c>
      <c r="L16" s="357">
        <v>82196</v>
      </c>
      <c r="M16" s="357">
        <v>82196</v>
      </c>
      <c r="N16" s="357">
        <v>82196</v>
      </c>
      <c r="O16" s="357">
        <v>82196</v>
      </c>
      <c r="P16" s="357">
        <v>82196</v>
      </c>
      <c r="Q16" s="357">
        <v>82196</v>
      </c>
      <c r="R16" s="357">
        <v>82195.500100000005</v>
      </c>
      <c r="S16" s="357">
        <v>82196</v>
      </c>
      <c r="T16" s="357">
        <v>82196</v>
      </c>
      <c r="U16" s="357">
        <v>82196</v>
      </c>
      <c r="X16" s="357"/>
      <c r="Y16" s="357"/>
    </row>
    <row r="17" spans="1:25">
      <c r="A17" s="349">
        <v>12</v>
      </c>
      <c r="B17" s="545" t="s">
        <v>15</v>
      </c>
      <c r="C17" s="546"/>
      <c r="D17" s="357">
        <v>82196</v>
      </c>
      <c r="E17" s="357">
        <v>82196</v>
      </c>
      <c r="F17" s="357">
        <v>82196</v>
      </c>
      <c r="G17" s="357">
        <v>82196</v>
      </c>
      <c r="H17" s="357">
        <v>82196</v>
      </c>
      <c r="I17" s="357">
        <v>82196</v>
      </c>
      <c r="J17" s="357">
        <v>82195.500100000005</v>
      </c>
      <c r="K17" s="357">
        <v>82195.500100000005</v>
      </c>
      <c r="L17" s="357">
        <v>82196</v>
      </c>
      <c r="M17" s="357">
        <v>82196</v>
      </c>
      <c r="N17" s="357">
        <v>82196</v>
      </c>
      <c r="O17" s="357">
        <v>82196</v>
      </c>
      <c r="P17" s="357">
        <v>82196</v>
      </c>
      <c r="Q17" s="357">
        <v>82196</v>
      </c>
      <c r="R17" s="357">
        <v>82195.500100000005</v>
      </c>
      <c r="S17" s="357">
        <v>82196</v>
      </c>
      <c r="T17" s="357">
        <v>82196</v>
      </c>
      <c r="U17" s="357">
        <v>82196</v>
      </c>
      <c r="X17" s="357"/>
      <c r="Y17" s="357"/>
    </row>
    <row r="18" spans="1:25">
      <c r="A18" s="349">
        <v>13</v>
      </c>
      <c r="B18" s="538" t="s">
        <v>16</v>
      </c>
      <c r="C18" s="539"/>
      <c r="D18" s="357">
        <v>82196</v>
      </c>
      <c r="E18" s="357">
        <v>82196</v>
      </c>
      <c r="F18" s="357">
        <v>82196</v>
      </c>
      <c r="G18" s="357">
        <v>82196</v>
      </c>
      <c r="H18" s="357">
        <v>82196</v>
      </c>
      <c r="I18" s="357">
        <v>82196</v>
      </c>
      <c r="J18" s="357">
        <v>82195.500100000005</v>
      </c>
      <c r="K18" s="357">
        <v>82195.500100000005</v>
      </c>
      <c r="L18" s="357">
        <v>82196</v>
      </c>
      <c r="M18" s="357">
        <v>82196</v>
      </c>
      <c r="N18" s="357">
        <v>82196</v>
      </c>
      <c r="O18" s="357">
        <v>82196</v>
      </c>
      <c r="P18" s="357">
        <v>82196</v>
      </c>
      <c r="Q18" s="357">
        <v>82196</v>
      </c>
      <c r="R18" s="357">
        <v>82195.500100000005</v>
      </c>
      <c r="S18" s="357">
        <v>82196</v>
      </c>
      <c r="T18" s="357">
        <v>82196</v>
      </c>
      <c r="U18" s="357">
        <v>82196</v>
      </c>
      <c r="X18" s="357"/>
      <c r="Y18" s="357"/>
    </row>
    <row r="19" spans="1:25">
      <c r="A19" s="543" t="s">
        <v>18</v>
      </c>
      <c r="B19" s="544"/>
      <c r="C19" s="544"/>
      <c r="D19" s="357"/>
      <c r="E19" s="357"/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357"/>
    </row>
    <row r="20" spans="1:25">
      <c r="A20" s="351">
        <v>1</v>
      </c>
      <c r="B20" s="541" t="s">
        <v>5</v>
      </c>
      <c r="C20" s="542"/>
      <c r="D20" s="357">
        <v>1578155</v>
      </c>
      <c r="E20" s="357">
        <v>1578155</v>
      </c>
      <c r="F20" s="357">
        <v>1578155</v>
      </c>
      <c r="G20" s="357">
        <v>1578155</v>
      </c>
      <c r="H20" s="357">
        <v>1578155</v>
      </c>
      <c r="I20" s="357">
        <v>1578155</v>
      </c>
      <c r="J20" s="357">
        <v>1578155.1709</v>
      </c>
      <c r="K20" s="357">
        <v>1578155.1709</v>
      </c>
      <c r="L20" s="357">
        <v>1578155</v>
      </c>
      <c r="M20" s="357">
        <v>1578155</v>
      </c>
      <c r="N20" s="357">
        <v>1578155</v>
      </c>
      <c r="O20" s="357">
        <v>1578155</v>
      </c>
      <c r="P20" s="357">
        <v>1578155</v>
      </c>
      <c r="Q20" s="357">
        <v>1578155</v>
      </c>
      <c r="R20" s="357">
        <v>1578155.1709</v>
      </c>
      <c r="S20" s="357">
        <v>1578155</v>
      </c>
      <c r="T20" s="357">
        <v>1578155</v>
      </c>
      <c r="U20" s="357">
        <v>1578155</v>
      </c>
      <c r="X20" s="357"/>
      <c r="Y20" s="357"/>
    </row>
    <row r="21" spans="1:25">
      <c r="A21" s="349">
        <v>2</v>
      </c>
      <c r="B21" s="538" t="s">
        <v>6</v>
      </c>
      <c r="C21" s="539"/>
      <c r="D21" s="357">
        <v>1527017</v>
      </c>
      <c r="E21" s="357">
        <v>1527017</v>
      </c>
      <c r="F21" s="357">
        <v>1527017</v>
      </c>
      <c r="G21" s="357">
        <v>1527017</v>
      </c>
      <c r="H21" s="357">
        <v>1527017</v>
      </c>
      <c r="I21" s="357">
        <v>1527017</v>
      </c>
      <c r="J21" s="357">
        <v>1527016.5092</v>
      </c>
      <c r="K21" s="357">
        <v>1527016.5092</v>
      </c>
      <c r="L21" s="357">
        <v>1527017</v>
      </c>
      <c r="M21" s="357">
        <v>1527017</v>
      </c>
      <c r="N21" s="357">
        <v>1527017</v>
      </c>
      <c r="O21" s="357">
        <v>1527017</v>
      </c>
      <c r="P21" s="357">
        <v>1527017</v>
      </c>
      <c r="Q21" s="357">
        <v>1527017</v>
      </c>
      <c r="R21" s="357">
        <v>1527016.5092</v>
      </c>
      <c r="S21" s="357">
        <v>1527017</v>
      </c>
      <c r="T21" s="357">
        <v>1527017</v>
      </c>
      <c r="U21" s="357">
        <v>1527017</v>
      </c>
      <c r="X21" s="357"/>
      <c r="Y21" s="357"/>
    </row>
    <row r="22" spans="1:25">
      <c r="A22" s="349">
        <v>3</v>
      </c>
      <c r="B22" s="538" t="s">
        <v>7</v>
      </c>
      <c r="C22" s="539"/>
      <c r="D22" s="357">
        <v>1527017</v>
      </c>
      <c r="E22" s="357">
        <v>1527017</v>
      </c>
      <c r="F22" s="357">
        <v>1527017</v>
      </c>
      <c r="G22" s="357">
        <v>1527017</v>
      </c>
      <c r="H22" s="357">
        <v>1527017</v>
      </c>
      <c r="I22" s="357">
        <v>1527017</v>
      </c>
      <c r="J22" s="357">
        <v>1527016.5092</v>
      </c>
      <c r="K22" s="357">
        <v>1527016.5092</v>
      </c>
      <c r="L22" s="357">
        <v>1527017</v>
      </c>
      <c r="M22" s="357">
        <v>1527017</v>
      </c>
      <c r="N22" s="357">
        <v>1527017</v>
      </c>
      <c r="O22" s="357">
        <v>1527017</v>
      </c>
      <c r="P22" s="357">
        <v>1527017</v>
      </c>
      <c r="Q22" s="357">
        <v>1527017</v>
      </c>
      <c r="R22" s="357">
        <v>1527016.5092</v>
      </c>
      <c r="S22" s="357">
        <v>1527017</v>
      </c>
      <c r="T22" s="357">
        <v>1527017</v>
      </c>
      <c r="U22" s="357">
        <v>1527017</v>
      </c>
      <c r="X22" s="357"/>
      <c r="Y22" s="357"/>
    </row>
    <row r="23" spans="1:25">
      <c r="A23" s="349">
        <v>4</v>
      </c>
      <c r="B23" s="538" t="s">
        <v>19</v>
      </c>
      <c r="C23" s="539"/>
      <c r="D23" s="357">
        <v>1578155</v>
      </c>
      <c r="E23" s="357">
        <v>1578155</v>
      </c>
      <c r="F23" s="357">
        <v>1578155</v>
      </c>
      <c r="G23" s="357">
        <v>1578155</v>
      </c>
      <c r="H23" s="357">
        <v>1578155</v>
      </c>
      <c r="I23" s="357">
        <v>1578155</v>
      </c>
      <c r="J23" s="357">
        <v>1578155.1709</v>
      </c>
      <c r="K23" s="357">
        <v>1578155.1709</v>
      </c>
      <c r="L23" s="357">
        <v>1578155</v>
      </c>
      <c r="M23" s="357">
        <v>1578155</v>
      </c>
      <c r="N23" s="357">
        <v>1578155</v>
      </c>
      <c r="O23" s="357">
        <v>1578155</v>
      </c>
      <c r="P23" s="357">
        <v>1578155</v>
      </c>
      <c r="Q23" s="357">
        <v>1578155</v>
      </c>
      <c r="R23" s="357">
        <v>1578155.1709</v>
      </c>
      <c r="S23" s="357">
        <v>1578155</v>
      </c>
      <c r="T23" s="357">
        <v>1578155</v>
      </c>
      <c r="U23" s="357">
        <v>1578155</v>
      </c>
      <c r="X23" s="357"/>
      <c r="Y23" s="357"/>
    </row>
    <row r="24" spans="1:25">
      <c r="A24" s="349">
        <v>5</v>
      </c>
      <c r="B24" s="538" t="s">
        <v>9</v>
      </c>
      <c r="C24" s="539"/>
      <c r="D24" s="357">
        <v>1527017</v>
      </c>
      <c r="E24" s="357">
        <v>1527017</v>
      </c>
      <c r="F24" s="357">
        <v>1527017</v>
      </c>
      <c r="G24" s="357">
        <v>1527017</v>
      </c>
      <c r="H24" s="357">
        <v>1527017</v>
      </c>
      <c r="I24" s="357">
        <v>1527017</v>
      </c>
      <c r="J24" s="357">
        <v>1527016.5092</v>
      </c>
      <c r="K24" s="357">
        <v>1527016.5092</v>
      </c>
      <c r="L24" s="357">
        <v>1527017</v>
      </c>
      <c r="M24" s="357">
        <v>1527017</v>
      </c>
      <c r="N24" s="357">
        <v>1527017</v>
      </c>
      <c r="O24" s="357">
        <v>1527017</v>
      </c>
      <c r="P24" s="357">
        <v>1527017</v>
      </c>
      <c r="Q24" s="357">
        <v>1527017</v>
      </c>
      <c r="R24" s="357">
        <v>1527016.5092</v>
      </c>
      <c r="S24" s="357">
        <v>1527017</v>
      </c>
      <c r="T24" s="357">
        <v>1527017</v>
      </c>
      <c r="U24" s="357">
        <v>1527017</v>
      </c>
      <c r="X24" s="357"/>
      <c r="Y24" s="357"/>
    </row>
    <row r="25" spans="1:25">
      <c r="A25" s="349">
        <v>6</v>
      </c>
      <c r="B25" s="538" t="s">
        <v>10</v>
      </c>
      <c r="C25" s="539"/>
      <c r="D25" s="357">
        <v>1527017</v>
      </c>
      <c r="E25" s="357">
        <v>1527017</v>
      </c>
      <c r="F25" s="357">
        <v>1527017</v>
      </c>
      <c r="G25" s="357">
        <v>1527017</v>
      </c>
      <c r="H25" s="357">
        <v>1527017</v>
      </c>
      <c r="I25" s="357">
        <v>1527017</v>
      </c>
      <c r="J25" s="357">
        <v>1527016.5092</v>
      </c>
      <c r="K25" s="357">
        <v>1527016.5092</v>
      </c>
      <c r="L25" s="357">
        <v>1527017</v>
      </c>
      <c r="M25" s="357">
        <v>1527017</v>
      </c>
      <c r="N25" s="357">
        <v>1527017</v>
      </c>
      <c r="O25" s="357">
        <v>1527017</v>
      </c>
      <c r="P25" s="357">
        <v>1527017</v>
      </c>
      <c r="Q25" s="357">
        <v>1527017</v>
      </c>
      <c r="R25" s="357">
        <v>1527016.5092</v>
      </c>
      <c r="S25" s="357">
        <v>1527017</v>
      </c>
      <c r="T25" s="357">
        <v>1527017</v>
      </c>
      <c r="U25" s="357">
        <v>1527017</v>
      </c>
      <c r="X25" s="357"/>
      <c r="Y25" s="357"/>
    </row>
    <row r="26" spans="1:25">
      <c r="A26" s="349">
        <v>7</v>
      </c>
      <c r="B26" s="538" t="s">
        <v>11</v>
      </c>
      <c r="C26" s="539"/>
      <c r="D26" s="357">
        <v>1527017</v>
      </c>
      <c r="E26" s="357">
        <v>1527017</v>
      </c>
      <c r="F26" s="357">
        <v>1527017</v>
      </c>
      <c r="G26" s="357">
        <v>1527017</v>
      </c>
      <c r="H26" s="357">
        <v>1527017</v>
      </c>
      <c r="I26" s="357">
        <v>1527017</v>
      </c>
      <c r="J26" s="357">
        <v>1527016.5092</v>
      </c>
      <c r="K26" s="357">
        <v>1527016.5092</v>
      </c>
      <c r="L26" s="357">
        <v>1527017</v>
      </c>
      <c r="M26" s="357">
        <v>1527017</v>
      </c>
      <c r="N26" s="357">
        <v>1527017</v>
      </c>
      <c r="O26" s="357">
        <v>1527017</v>
      </c>
      <c r="P26" s="357">
        <v>1527017</v>
      </c>
      <c r="Q26" s="357">
        <v>1527017</v>
      </c>
      <c r="R26" s="357">
        <v>1527016.5092</v>
      </c>
      <c r="S26" s="357">
        <v>1527017</v>
      </c>
      <c r="T26" s="357">
        <v>1527017</v>
      </c>
      <c r="U26" s="357">
        <v>1527017</v>
      </c>
      <c r="X26" s="357"/>
      <c r="Y26" s="357"/>
    </row>
    <row r="27" spans="1:25">
      <c r="A27" s="349">
        <v>8</v>
      </c>
      <c r="B27" s="538" t="s">
        <v>12</v>
      </c>
      <c r="C27" s="539"/>
      <c r="D27" s="357">
        <v>1527017</v>
      </c>
      <c r="E27" s="357">
        <v>1527017</v>
      </c>
      <c r="F27" s="357">
        <v>1527017</v>
      </c>
      <c r="G27" s="357">
        <v>1527017</v>
      </c>
      <c r="H27" s="357">
        <v>1527017</v>
      </c>
      <c r="I27" s="357">
        <v>1527017</v>
      </c>
      <c r="J27" s="357">
        <v>1527016.5092</v>
      </c>
      <c r="K27" s="357">
        <v>1527016.5092</v>
      </c>
      <c r="L27" s="357">
        <v>1527017</v>
      </c>
      <c r="M27" s="357">
        <v>1527017</v>
      </c>
      <c r="N27" s="357">
        <v>1527017</v>
      </c>
      <c r="O27" s="357">
        <v>1527017</v>
      </c>
      <c r="P27" s="357">
        <v>1527017</v>
      </c>
      <c r="Q27" s="357">
        <v>1527017</v>
      </c>
      <c r="R27" s="357">
        <v>1527016.5092</v>
      </c>
      <c r="S27" s="357">
        <v>1527017</v>
      </c>
      <c r="T27" s="357">
        <v>1527017</v>
      </c>
      <c r="U27" s="357">
        <v>1527017</v>
      </c>
      <c r="X27" s="357"/>
      <c r="Y27" s="357"/>
    </row>
    <row r="28" spans="1:25">
      <c r="A28" s="349">
        <v>9</v>
      </c>
      <c r="B28" s="538" t="s">
        <v>13</v>
      </c>
      <c r="C28" s="539"/>
      <c r="D28" s="357">
        <v>1500286</v>
      </c>
      <c r="E28" s="357">
        <v>1500286</v>
      </c>
      <c r="F28" s="357">
        <v>1500286</v>
      </c>
      <c r="G28" s="357">
        <v>1500286</v>
      </c>
      <c r="H28" s="357">
        <v>1500286</v>
      </c>
      <c r="I28" s="357">
        <v>1500286</v>
      </c>
      <c r="J28" s="357">
        <v>1500285.5728</v>
      </c>
      <c r="K28" s="357">
        <v>1500285.5728</v>
      </c>
      <c r="L28" s="357">
        <v>1500286</v>
      </c>
      <c r="M28" s="357">
        <v>1500286</v>
      </c>
      <c r="N28" s="357">
        <v>1500286</v>
      </c>
      <c r="O28" s="357">
        <v>1500286</v>
      </c>
      <c r="P28" s="357">
        <v>1500286</v>
      </c>
      <c r="Q28" s="357">
        <v>1500286</v>
      </c>
      <c r="R28" s="357">
        <v>1500285.5728</v>
      </c>
      <c r="S28" s="357">
        <v>1500286</v>
      </c>
      <c r="T28" s="357">
        <v>1500286</v>
      </c>
      <c r="U28" s="357">
        <v>1500286</v>
      </c>
      <c r="X28" s="357"/>
      <c r="Y28" s="357"/>
    </row>
    <row r="29" spans="1:25" ht="18">
      <c r="A29" s="540" t="s">
        <v>20</v>
      </c>
      <c r="B29" s="540"/>
      <c r="C29" s="352" t="s">
        <v>364</v>
      </c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</row>
    <row r="30" spans="1:25">
      <c r="A30" s="349">
        <v>1</v>
      </c>
      <c r="B30" s="353" t="s">
        <v>21</v>
      </c>
      <c r="C30" s="351" t="s">
        <v>365</v>
      </c>
      <c r="D30" s="357">
        <v>10611</v>
      </c>
      <c r="E30" s="357">
        <v>10106</v>
      </c>
      <c r="F30" s="357">
        <v>10106</v>
      </c>
      <c r="G30" s="357">
        <v>10106</v>
      </c>
      <c r="H30" s="357">
        <v>10611</v>
      </c>
      <c r="I30" s="357">
        <v>10611</v>
      </c>
      <c r="J30" s="357">
        <v>11117.054400000001</v>
      </c>
      <c r="K30" s="357">
        <v>10106.214400000001</v>
      </c>
      <c r="L30" s="357">
        <v>10106</v>
      </c>
      <c r="M30" s="357">
        <v>10611</v>
      </c>
      <c r="N30" s="357">
        <v>10106</v>
      </c>
      <c r="O30" s="357">
        <v>12127</v>
      </c>
      <c r="P30" s="357">
        <v>12127</v>
      </c>
      <c r="Q30" s="357">
        <v>12127</v>
      </c>
      <c r="R30" s="357">
        <v>12126.801600000001</v>
      </c>
      <c r="S30" s="357">
        <v>12127</v>
      </c>
      <c r="T30" s="357">
        <v>12127</v>
      </c>
      <c r="U30" s="357">
        <v>12127</v>
      </c>
      <c r="X30" s="357"/>
      <c r="Y30" s="499"/>
    </row>
    <row r="31" spans="1:25">
      <c r="A31" s="349">
        <v>2</v>
      </c>
      <c r="B31" s="353" t="s">
        <v>22</v>
      </c>
      <c r="C31" s="349" t="s">
        <v>365</v>
      </c>
      <c r="D31" s="357">
        <v>2934</v>
      </c>
      <c r="E31" s="357">
        <v>2795</v>
      </c>
      <c r="F31" s="357">
        <v>2795</v>
      </c>
      <c r="G31" s="357">
        <v>2795</v>
      </c>
      <c r="H31" s="357">
        <v>2934</v>
      </c>
      <c r="I31" s="357">
        <v>2934</v>
      </c>
      <c r="J31" s="357">
        <v>3074.0464000000002</v>
      </c>
      <c r="K31" s="357">
        <v>2795.3824</v>
      </c>
      <c r="L31" s="357">
        <v>2795</v>
      </c>
      <c r="M31" s="357">
        <v>2934</v>
      </c>
      <c r="N31" s="357">
        <v>2795</v>
      </c>
      <c r="O31" s="357">
        <v>3354</v>
      </c>
      <c r="P31" s="357">
        <v>3354</v>
      </c>
      <c r="Q31" s="357">
        <v>3354</v>
      </c>
      <c r="R31" s="357">
        <v>3353.8031999999998</v>
      </c>
      <c r="S31" s="357">
        <v>3354</v>
      </c>
      <c r="T31" s="357">
        <v>3354</v>
      </c>
      <c r="U31" s="357">
        <v>3354</v>
      </c>
      <c r="X31" s="357"/>
      <c r="Y31" s="499"/>
    </row>
    <row r="32" spans="1:25">
      <c r="A32" s="349">
        <v>3</v>
      </c>
      <c r="B32" s="353" t="s">
        <v>23</v>
      </c>
      <c r="C32" s="349" t="s">
        <v>365</v>
      </c>
      <c r="D32" s="357">
        <v>6426</v>
      </c>
      <c r="E32" s="357">
        <v>6119</v>
      </c>
      <c r="F32" s="357">
        <v>6119</v>
      </c>
      <c r="G32" s="357">
        <v>6119</v>
      </c>
      <c r="H32" s="357">
        <v>6426</v>
      </c>
      <c r="I32" s="357">
        <v>6426</v>
      </c>
      <c r="J32" s="357">
        <v>6730.5551999999998</v>
      </c>
      <c r="K32" s="357">
        <v>6118.5871999999999</v>
      </c>
      <c r="L32" s="357">
        <v>6119</v>
      </c>
      <c r="M32" s="357">
        <v>6426</v>
      </c>
      <c r="N32" s="357">
        <v>6119</v>
      </c>
      <c r="O32" s="357">
        <v>7343</v>
      </c>
      <c r="P32" s="357">
        <v>7343</v>
      </c>
      <c r="Q32" s="357">
        <v>7343</v>
      </c>
      <c r="R32" s="357">
        <v>7342.5231999999996</v>
      </c>
      <c r="S32" s="357">
        <v>7343</v>
      </c>
      <c r="T32" s="357">
        <v>7343</v>
      </c>
      <c r="U32" s="357">
        <v>7343</v>
      </c>
      <c r="X32" s="357"/>
      <c r="Y32" s="499"/>
    </row>
    <row r="33" spans="1:25">
      <c r="A33" s="349">
        <v>4</v>
      </c>
      <c r="B33" s="353" t="s">
        <v>24</v>
      </c>
      <c r="C33" s="349" t="s">
        <v>365</v>
      </c>
      <c r="D33" s="357">
        <v>5841</v>
      </c>
      <c r="E33" s="357">
        <v>5562</v>
      </c>
      <c r="F33" s="357">
        <v>5562</v>
      </c>
      <c r="G33" s="357">
        <v>5562</v>
      </c>
      <c r="H33" s="357">
        <v>5841</v>
      </c>
      <c r="I33" s="357">
        <v>5841</v>
      </c>
      <c r="J33" s="357">
        <v>6118.5871999999999</v>
      </c>
      <c r="K33" s="357">
        <v>5562.3519999999999</v>
      </c>
      <c r="L33" s="357">
        <v>5562</v>
      </c>
      <c r="M33" s="357">
        <v>5841</v>
      </c>
      <c r="N33" s="357">
        <v>5562</v>
      </c>
      <c r="O33" s="357">
        <v>6675</v>
      </c>
      <c r="P33" s="357">
        <v>6675</v>
      </c>
      <c r="Q33" s="357">
        <v>6675</v>
      </c>
      <c r="R33" s="357">
        <v>6674.8224</v>
      </c>
      <c r="S33" s="357">
        <v>6675</v>
      </c>
      <c r="T33" s="357">
        <v>6675</v>
      </c>
      <c r="U33" s="357">
        <v>6675</v>
      </c>
      <c r="X33" s="357"/>
      <c r="Y33" s="499"/>
    </row>
    <row r="34" spans="1:25">
      <c r="A34" s="349">
        <v>5</v>
      </c>
      <c r="B34" s="353" t="s">
        <v>25</v>
      </c>
      <c r="C34" s="349" t="s">
        <v>365</v>
      </c>
      <c r="D34" s="357">
        <v>2017</v>
      </c>
      <c r="E34" s="357">
        <v>2017</v>
      </c>
      <c r="F34" s="357">
        <v>2017</v>
      </c>
      <c r="G34" s="357">
        <v>2017</v>
      </c>
      <c r="H34" s="357">
        <v>2086</v>
      </c>
      <c r="I34" s="357">
        <v>2086</v>
      </c>
      <c r="J34" s="357">
        <v>2086.1552000000001</v>
      </c>
      <c r="K34" s="357">
        <v>2017.3088</v>
      </c>
      <c r="L34" s="357">
        <v>2017</v>
      </c>
      <c r="M34" s="357">
        <v>2086</v>
      </c>
      <c r="N34" s="357">
        <v>2017</v>
      </c>
      <c r="O34" s="357">
        <v>2291</v>
      </c>
      <c r="P34" s="357">
        <v>2416</v>
      </c>
      <c r="Q34" s="357">
        <v>2416</v>
      </c>
      <c r="R34" s="357">
        <v>2416.1808000000001</v>
      </c>
      <c r="S34" s="357">
        <v>2416</v>
      </c>
      <c r="T34" s="357">
        <v>2416</v>
      </c>
      <c r="U34" s="357">
        <v>2416</v>
      </c>
      <c r="X34" s="357"/>
      <c r="Y34" s="499"/>
    </row>
    <row r="35" spans="1:25">
      <c r="A35" s="349">
        <v>6</v>
      </c>
      <c r="B35" s="353" t="s">
        <v>26</v>
      </c>
      <c r="C35" s="349" t="s">
        <v>365</v>
      </c>
      <c r="D35" s="357">
        <v>1978</v>
      </c>
      <c r="E35" s="357">
        <v>1978</v>
      </c>
      <c r="F35" s="357">
        <v>1978</v>
      </c>
      <c r="G35" s="357">
        <v>1978</v>
      </c>
      <c r="H35" s="357">
        <v>1978</v>
      </c>
      <c r="I35" s="357">
        <v>1978</v>
      </c>
      <c r="J35" s="357">
        <v>1977.9680000000001</v>
      </c>
      <c r="K35" s="357">
        <v>1977.9680000000001</v>
      </c>
      <c r="L35" s="357">
        <v>1978</v>
      </c>
      <c r="M35" s="357">
        <v>1978</v>
      </c>
      <c r="N35" s="357">
        <v>1978</v>
      </c>
      <c r="O35" s="357">
        <v>2274</v>
      </c>
      <c r="P35" s="357">
        <v>2274</v>
      </c>
      <c r="Q35" s="357">
        <v>2274</v>
      </c>
      <c r="R35" s="357">
        <v>2274.1167999999998</v>
      </c>
      <c r="S35" s="357">
        <v>2274</v>
      </c>
      <c r="T35" s="357">
        <v>2274</v>
      </c>
      <c r="U35" s="357">
        <v>2274</v>
      </c>
      <c r="X35" s="357"/>
      <c r="Y35" s="499"/>
    </row>
    <row r="36" spans="1:25">
      <c r="A36" s="349">
        <v>7</v>
      </c>
      <c r="B36" s="353" t="s">
        <v>27</v>
      </c>
      <c r="C36" s="349" t="s">
        <v>365</v>
      </c>
      <c r="D36" s="357">
        <v>3332</v>
      </c>
      <c r="E36" s="357">
        <v>2513</v>
      </c>
      <c r="F36" s="357">
        <v>2732</v>
      </c>
      <c r="G36" s="357">
        <v>2513</v>
      </c>
      <c r="H36" s="357">
        <v>2513</v>
      </c>
      <c r="I36" s="357">
        <v>2513</v>
      </c>
      <c r="J36" s="357">
        <v>2732</v>
      </c>
      <c r="K36" s="357">
        <v>3331.9472000000001</v>
      </c>
      <c r="L36" s="357">
        <v>2732</v>
      </c>
      <c r="M36" s="357">
        <v>3446</v>
      </c>
      <c r="N36" s="357">
        <v>2754</v>
      </c>
      <c r="O36" s="357">
        <v>3832</v>
      </c>
      <c r="P36" s="357">
        <v>3832</v>
      </c>
      <c r="Q36" s="357">
        <v>3832</v>
      </c>
      <c r="R36" s="357">
        <v>3832.4495999999999</v>
      </c>
      <c r="S36" s="357">
        <v>3832</v>
      </c>
      <c r="T36" s="357">
        <v>3832</v>
      </c>
      <c r="U36" s="357">
        <v>3832</v>
      </c>
      <c r="X36" s="357"/>
      <c r="Y36" s="499"/>
    </row>
    <row r="37" spans="1:25">
      <c r="A37" s="349">
        <v>8</v>
      </c>
      <c r="B37" s="353" t="s">
        <v>28</v>
      </c>
      <c r="C37" s="349" t="s">
        <v>365</v>
      </c>
      <c r="D37" s="357">
        <v>2085</v>
      </c>
      <c r="E37" s="357">
        <v>1911</v>
      </c>
      <c r="F37" s="357">
        <v>2076</v>
      </c>
      <c r="G37" s="357">
        <v>1911</v>
      </c>
      <c r="H37" s="357">
        <v>1911</v>
      </c>
      <c r="I37" s="357">
        <v>1911</v>
      </c>
      <c r="J37" s="357">
        <v>2076.3200000000002</v>
      </c>
      <c r="K37" s="357">
        <v>2085.0623999999998</v>
      </c>
      <c r="L37" s="357">
        <v>2076</v>
      </c>
      <c r="M37" s="357">
        <v>2370</v>
      </c>
      <c r="N37" s="357">
        <v>2085</v>
      </c>
      <c r="O37" s="357">
        <v>2371</v>
      </c>
      <c r="P37" s="357">
        <v>2371</v>
      </c>
      <c r="Q37" s="357">
        <v>2371</v>
      </c>
      <c r="R37" s="357">
        <v>2371.3760000000002</v>
      </c>
      <c r="S37" s="357">
        <v>2371</v>
      </c>
      <c r="T37" s="357">
        <v>2371</v>
      </c>
      <c r="U37" s="357">
        <v>2371</v>
      </c>
      <c r="X37" s="357"/>
      <c r="Y37" s="499"/>
    </row>
    <row r="38" spans="1:25">
      <c r="A38" s="349">
        <v>9</v>
      </c>
      <c r="B38" s="353" t="s">
        <v>29</v>
      </c>
      <c r="C38" s="349" t="s">
        <v>365</v>
      </c>
      <c r="D38" s="357">
        <v>34613</v>
      </c>
      <c r="E38" s="357">
        <v>16874</v>
      </c>
      <c r="F38" s="357">
        <v>16874</v>
      </c>
      <c r="G38" s="357">
        <v>34613</v>
      </c>
      <c r="H38" s="357">
        <v>16874</v>
      </c>
      <c r="I38" s="357">
        <v>34613</v>
      </c>
      <c r="J38" s="357">
        <v>9889.84</v>
      </c>
      <c r="K38" s="357">
        <v>34613.347199999997</v>
      </c>
      <c r="L38" s="357">
        <v>34613</v>
      </c>
      <c r="M38" s="357">
        <v>34613</v>
      </c>
      <c r="N38" s="357">
        <v>34613</v>
      </c>
      <c r="O38" s="357">
        <v>27443</v>
      </c>
      <c r="P38" s="357">
        <v>27443</v>
      </c>
      <c r="Q38" s="357">
        <v>27443</v>
      </c>
      <c r="R38" s="357">
        <v>27443.486400000002</v>
      </c>
      <c r="S38" s="357">
        <v>27443</v>
      </c>
      <c r="T38" s="357">
        <v>27443</v>
      </c>
      <c r="U38" s="357">
        <v>27443</v>
      </c>
      <c r="X38" s="357"/>
      <c r="Y38" s="499"/>
    </row>
    <row r="39" spans="1:25">
      <c r="A39" s="349">
        <v>10</v>
      </c>
      <c r="B39" s="353" t="s">
        <v>30</v>
      </c>
      <c r="C39" s="349" t="s">
        <v>365</v>
      </c>
      <c r="D39" s="357">
        <v>2165</v>
      </c>
      <c r="E39" s="357">
        <v>2165</v>
      </c>
      <c r="F39" s="357">
        <v>2165</v>
      </c>
      <c r="G39" s="357">
        <v>2165</v>
      </c>
      <c r="H39" s="357">
        <v>2165</v>
      </c>
      <c r="I39" s="357">
        <v>2263</v>
      </c>
      <c r="J39" s="357">
        <v>2263.1887999999999</v>
      </c>
      <c r="K39" s="357">
        <v>2164.8368</v>
      </c>
      <c r="L39" s="357">
        <v>2263</v>
      </c>
      <c r="M39" s="357">
        <v>2459</v>
      </c>
      <c r="N39" s="357">
        <v>2165</v>
      </c>
      <c r="O39" s="357">
        <v>2460</v>
      </c>
      <c r="P39" s="357">
        <v>2460</v>
      </c>
      <c r="Q39" s="357">
        <v>2460</v>
      </c>
      <c r="R39" s="357">
        <v>2459.8928000000001</v>
      </c>
      <c r="S39" s="357">
        <v>2460</v>
      </c>
      <c r="T39" s="357">
        <v>2460</v>
      </c>
      <c r="U39" s="357">
        <v>2460</v>
      </c>
      <c r="X39" s="357"/>
      <c r="Y39" s="499"/>
    </row>
    <row r="40" spans="1:25">
      <c r="A40" s="349">
        <v>11</v>
      </c>
      <c r="B40" s="353" t="s">
        <v>31</v>
      </c>
      <c r="C40" s="349" t="s">
        <v>365</v>
      </c>
      <c r="D40" s="357">
        <v>1608</v>
      </c>
      <c r="E40" s="357">
        <v>1608</v>
      </c>
      <c r="F40" s="357">
        <v>1608</v>
      </c>
      <c r="G40" s="357">
        <v>1608</v>
      </c>
      <c r="H40" s="357">
        <v>1608</v>
      </c>
      <c r="I40" s="357">
        <v>1608</v>
      </c>
      <c r="J40" s="357">
        <v>1607.5088000000001</v>
      </c>
      <c r="K40" s="357">
        <v>1607.5088000000001</v>
      </c>
      <c r="L40" s="357">
        <v>1608</v>
      </c>
      <c r="M40" s="357">
        <v>1608</v>
      </c>
      <c r="N40" s="357">
        <v>1608</v>
      </c>
      <c r="O40" s="357">
        <v>1848</v>
      </c>
      <c r="P40" s="357">
        <v>1848</v>
      </c>
      <c r="Q40" s="357">
        <v>1848</v>
      </c>
      <c r="R40" s="357">
        <v>1847.9248</v>
      </c>
      <c r="S40" s="357">
        <v>1848</v>
      </c>
      <c r="T40" s="357">
        <v>1848</v>
      </c>
      <c r="U40" s="357">
        <v>1848</v>
      </c>
      <c r="X40" s="357"/>
      <c r="Y40" s="499"/>
    </row>
    <row r="41" spans="1:25">
      <c r="A41" s="349">
        <v>12</v>
      </c>
      <c r="B41" s="353" t="s">
        <v>32</v>
      </c>
      <c r="C41" s="349" t="s">
        <v>365</v>
      </c>
      <c r="D41" s="357">
        <v>7105</v>
      </c>
      <c r="E41" s="357">
        <v>6767</v>
      </c>
      <c r="F41" s="357">
        <v>6767</v>
      </c>
      <c r="G41" s="357">
        <v>6767</v>
      </c>
      <c r="H41" s="357">
        <v>7105</v>
      </c>
      <c r="I41" s="357">
        <v>7105</v>
      </c>
      <c r="J41" s="357">
        <v>7443.0608000000002</v>
      </c>
      <c r="K41" s="357">
        <v>6766.6175999999996</v>
      </c>
      <c r="L41" s="357">
        <v>6767</v>
      </c>
      <c r="M41" s="357">
        <v>7105</v>
      </c>
      <c r="N41" s="357">
        <v>6767</v>
      </c>
      <c r="O41" s="357">
        <v>8121</v>
      </c>
      <c r="P41" s="357">
        <v>8121</v>
      </c>
      <c r="Q41" s="357">
        <v>8121</v>
      </c>
      <c r="R41" s="357">
        <v>8120.5968000000003</v>
      </c>
      <c r="S41" s="357">
        <v>8121</v>
      </c>
      <c r="T41" s="357">
        <v>8121</v>
      </c>
      <c r="U41" s="357">
        <v>8121</v>
      </c>
      <c r="X41" s="357"/>
      <c r="Y41" s="499"/>
    </row>
    <row r="42" spans="1:25">
      <c r="A42" s="349">
        <v>13</v>
      </c>
      <c r="B42" s="353" t="s">
        <v>33</v>
      </c>
      <c r="C42" s="349" t="s">
        <v>365</v>
      </c>
      <c r="D42" s="357">
        <v>15163</v>
      </c>
      <c r="E42" s="357">
        <v>14441</v>
      </c>
      <c r="F42" s="357">
        <v>14441</v>
      </c>
      <c r="G42" s="357">
        <v>14441</v>
      </c>
      <c r="H42" s="357">
        <v>15163</v>
      </c>
      <c r="I42" s="357">
        <v>15163</v>
      </c>
      <c r="J42" s="357">
        <v>15884.9408</v>
      </c>
      <c r="K42" s="357">
        <v>14441.351999999999</v>
      </c>
      <c r="L42" s="357">
        <v>14441</v>
      </c>
      <c r="M42" s="357">
        <v>15163</v>
      </c>
      <c r="N42" s="357">
        <v>14441</v>
      </c>
      <c r="O42" s="357">
        <v>17329</v>
      </c>
      <c r="P42" s="357">
        <v>17329</v>
      </c>
      <c r="Q42" s="357">
        <v>17329</v>
      </c>
      <c r="R42" s="357">
        <v>17328.529600000002</v>
      </c>
      <c r="S42" s="357">
        <v>17329</v>
      </c>
      <c r="T42" s="357">
        <v>17329</v>
      </c>
      <c r="U42" s="357">
        <v>17329</v>
      </c>
      <c r="X42" s="357"/>
      <c r="Y42" s="499"/>
    </row>
    <row r="43" spans="1:25">
      <c r="A43" s="349">
        <v>14</v>
      </c>
      <c r="B43" s="353" t="s">
        <v>34</v>
      </c>
      <c r="C43" s="349" t="s">
        <v>365</v>
      </c>
      <c r="D43" s="357">
        <v>5277</v>
      </c>
      <c r="E43" s="357">
        <v>5277</v>
      </c>
      <c r="F43" s="357">
        <v>5161</v>
      </c>
      <c r="G43" s="357">
        <v>5122</v>
      </c>
      <c r="H43" s="357">
        <v>5122</v>
      </c>
      <c r="I43" s="357">
        <v>5277</v>
      </c>
      <c r="J43" s="357">
        <v>3708.9632000000001</v>
      </c>
      <c r="K43" s="357">
        <v>5237.7903999999999</v>
      </c>
      <c r="L43" s="357">
        <v>5277</v>
      </c>
      <c r="M43" s="357">
        <v>5315</v>
      </c>
      <c r="N43" s="357">
        <v>5934</v>
      </c>
      <c r="O43" s="357">
        <v>6823</v>
      </c>
      <c r="P43" s="357">
        <v>6823</v>
      </c>
      <c r="Q43" s="357">
        <v>6823</v>
      </c>
      <c r="R43" s="357">
        <v>6823.4431999999997</v>
      </c>
      <c r="S43" s="357">
        <v>6823</v>
      </c>
      <c r="T43" s="357">
        <v>6823</v>
      </c>
      <c r="U43" s="357">
        <v>6823</v>
      </c>
      <c r="X43" s="357"/>
      <c r="Y43" s="499"/>
    </row>
    <row r="44" spans="1:25">
      <c r="A44" s="349">
        <v>15</v>
      </c>
      <c r="B44" s="353" t="s">
        <v>35</v>
      </c>
      <c r="C44" s="349" t="s">
        <v>365</v>
      </c>
      <c r="D44" s="357">
        <v>6163</v>
      </c>
      <c r="E44" s="357">
        <v>5869</v>
      </c>
      <c r="F44" s="357">
        <v>5869</v>
      </c>
      <c r="G44" s="357">
        <v>5869</v>
      </c>
      <c r="H44" s="357">
        <v>6163</v>
      </c>
      <c r="I44" s="357">
        <v>6163</v>
      </c>
      <c r="J44" s="357">
        <v>6456.2623999999996</v>
      </c>
      <c r="K44" s="357">
        <v>5869.4287999999997</v>
      </c>
      <c r="L44" s="357">
        <v>5869</v>
      </c>
      <c r="M44" s="357">
        <v>6163</v>
      </c>
      <c r="N44" s="357">
        <v>5869</v>
      </c>
      <c r="O44" s="357">
        <v>7044</v>
      </c>
      <c r="P44" s="357">
        <v>7044</v>
      </c>
      <c r="Q44" s="357">
        <v>7044</v>
      </c>
      <c r="R44" s="357">
        <v>7044.1887999999999</v>
      </c>
      <c r="S44" s="357">
        <v>7044</v>
      </c>
      <c r="T44" s="357">
        <v>7044</v>
      </c>
      <c r="U44" s="357">
        <v>7044</v>
      </c>
      <c r="X44" s="357"/>
      <c r="Y44" s="499"/>
    </row>
    <row r="45" spans="1:25">
      <c r="A45" s="349">
        <v>16</v>
      </c>
      <c r="B45" s="353" t="s">
        <v>36</v>
      </c>
      <c r="C45" s="349" t="s">
        <v>365</v>
      </c>
      <c r="D45" s="357">
        <v>2183</v>
      </c>
      <c r="E45" s="357">
        <v>2079</v>
      </c>
      <c r="F45" s="357">
        <v>2079</v>
      </c>
      <c r="G45" s="357">
        <v>2079</v>
      </c>
      <c r="H45" s="357">
        <v>2183</v>
      </c>
      <c r="I45" s="357">
        <v>2183</v>
      </c>
      <c r="J45" s="357">
        <v>2287.2303999999999</v>
      </c>
      <c r="K45" s="357">
        <v>2078.5056</v>
      </c>
      <c r="L45" s="357">
        <v>2079</v>
      </c>
      <c r="M45" s="357">
        <v>2183</v>
      </c>
      <c r="N45" s="357">
        <v>2079</v>
      </c>
      <c r="O45" s="357">
        <v>2495</v>
      </c>
      <c r="P45" s="357">
        <v>2495</v>
      </c>
      <c r="Q45" s="357">
        <v>2495</v>
      </c>
      <c r="R45" s="357">
        <v>2494.8624</v>
      </c>
      <c r="S45" s="357">
        <v>2495</v>
      </c>
      <c r="T45" s="357">
        <v>2495</v>
      </c>
      <c r="U45" s="357">
        <v>2495</v>
      </c>
      <c r="X45" s="357"/>
      <c r="Y45" s="499"/>
    </row>
    <row r="46" spans="1:25">
      <c r="A46" s="349">
        <v>17</v>
      </c>
      <c r="B46" s="353" t="s">
        <v>37</v>
      </c>
      <c r="C46" s="349" t="s">
        <v>365</v>
      </c>
      <c r="D46" s="357">
        <v>1946</v>
      </c>
      <c r="E46" s="357">
        <v>1809</v>
      </c>
      <c r="F46" s="357">
        <v>1853</v>
      </c>
      <c r="G46" s="357">
        <v>1809</v>
      </c>
      <c r="H46" s="357">
        <v>1809</v>
      </c>
      <c r="I46" s="357">
        <v>1809</v>
      </c>
      <c r="J46" s="357">
        <v>1965.9472000000001</v>
      </c>
      <c r="K46" s="357">
        <v>1853.3887999999999</v>
      </c>
      <c r="L46" s="357">
        <v>1853</v>
      </c>
      <c r="M46" s="357">
        <v>1946</v>
      </c>
      <c r="N46" s="357">
        <v>1853</v>
      </c>
      <c r="O46" s="357">
        <v>2224</v>
      </c>
      <c r="P46" s="357">
        <v>2224</v>
      </c>
      <c r="Q46" s="357">
        <v>2224</v>
      </c>
      <c r="R46" s="357">
        <v>2223.848</v>
      </c>
      <c r="S46" s="357">
        <v>2224</v>
      </c>
      <c r="T46" s="357">
        <v>2224</v>
      </c>
      <c r="U46" s="357">
        <v>2224</v>
      </c>
      <c r="X46" s="357"/>
      <c r="Y46" s="499"/>
    </row>
    <row r="47" spans="1:25">
      <c r="A47" s="349">
        <v>18</v>
      </c>
      <c r="B47" s="353" t="s">
        <v>38</v>
      </c>
      <c r="C47" s="349" t="s">
        <v>365</v>
      </c>
      <c r="D47" s="357">
        <v>6173</v>
      </c>
      <c r="E47" s="357">
        <v>6173</v>
      </c>
      <c r="F47" s="357">
        <v>6173</v>
      </c>
      <c r="G47" s="357">
        <v>6173</v>
      </c>
      <c r="H47" s="357">
        <v>6173</v>
      </c>
      <c r="I47" s="357">
        <v>6454</v>
      </c>
      <c r="J47" s="357">
        <v>6454.0767999999998</v>
      </c>
      <c r="K47" s="357">
        <v>6173.2272000000003</v>
      </c>
      <c r="L47" s="357">
        <v>6454</v>
      </c>
      <c r="M47" s="357">
        <v>7299</v>
      </c>
      <c r="N47" s="357">
        <v>6173</v>
      </c>
      <c r="O47" s="357">
        <v>7016</v>
      </c>
      <c r="P47" s="357">
        <v>7016</v>
      </c>
      <c r="Q47" s="357">
        <v>7016</v>
      </c>
      <c r="R47" s="357">
        <v>7015.7759999999998</v>
      </c>
      <c r="S47" s="357">
        <v>7016</v>
      </c>
      <c r="T47" s="357">
        <v>7016</v>
      </c>
      <c r="U47" s="357">
        <v>7016</v>
      </c>
      <c r="X47" s="357"/>
      <c r="Y47" s="499"/>
    </row>
    <row r="48" spans="1:25">
      <c r="A48" s="349">
        <v>19</v>
      </c>
      <c r="B48" s="353" t="s">
        <v>39</v>
      </c>
      <c r="C48" s="349" t="s">
        <v>365</v>
      </c>
      <c r="D48" s="357">
        <v>7866</v>
      </c>
      <c r="E48" s="357">
        <v>7491</v>
      </c>
      <c r="F48" s="357">
        <v>7491</v>
      </c>
      <c r="G48" s="357">
        <v>7491</v>
      </c>
      <c r="H48" s="357">
        <v>7866</v>
      </c>
      <c r="I48" s="357">
        <v>7866</v>
      </c>
      <c r="J48" s="357">
        <v>8240.8047999999999</v>
      </c>
      <c r="K48" s="357">
        <v>7491.1440000000002</v>
      </c>
      <c r="L48" s="357">
        <v>7491</v>
      </c>
      <c r="M48" s="357">
        <v>7866</v>
      </c>
      <c r="N48" s="357">
        <v>7491</v>
      </c>
      <c r="O48" s="357">
        <v>8585</v>
      </c>
      <c r="P48" s="357">
        <v>8585</v>
      </c>
      <c r="Q48" s="357">
        <v>8585</v>
      </c>
      <c r="R48" s="357">
        <v>8585.0367999999999</v>
      </c>
      <c r="S48" s="357">
        <v>8585</v>
      </c>
      <c r="T48" s="357">
        <v>8585</v>
      </c>
      <c r="U48" s="357">
        <v>8585</v>
      </c>
      <c r="X48" s="357"/>
      <c r="Y48" s="499"/>
    </row>
    <row r="49" spans="1:25">
      <c r="A49" s="349">
        <v>20</v>
      </c>
      <c r="B49" s="353" t="s">
        <v>40</v>
      </c>
      <c r="C49" s="349" t="s">
        <v>365</v>
      </c>
      <c r="D49" s="357">
        <v>9298</v>
      </c>
      <c r="E49" s="357">
        <v>8870</v>
      </c>
      <c r="F49" s="357">
        <v>9298</v>
      </c>
      <c r="G49" s="357">
        <v>8870</v>
      </c>
      <c r="H49" s="357">
        <v>8870</v>
      </c>
      <c r="I49" s="357">
        <v>8870</v>
      </c>
      <c r="J49" s="357">
        <v>9297.5424000000003</v>
      </c>
      <c r="K49" s="357">
        <v>9297.5424000000003</v>
      </c>
      <c r="L49" s="357">
        <v>9298</v>
      </c>
      <c r="M49" s="357">
        <v>9298</v>
      </c>
      <c r="N49" s="357">
        <v>9298</v>
      </c>
      <c r="O49" s="357">
        <v>10584</v>
      </c>
      <c r="P49" s="357">
        <v>10584</v>
      </c>
      <c r="Q49" s="357">
        <v>10584</v>
      </c>
      <c r="R49" s="357">
        <v>10260.299199999999</v>
      </c>
      <c r="S49" s="357">
        <v>10584</v>
      </c>
      <c r="T49" s="357">
        <v>10584</v>
      </c>
      <c r="U49" s="357">
        <v>10584</v>
      </c>
      <c r="X49" s="357"/>
      <c r="Y49" s="499"/>
    </row>
    <row r="50" spans="1:25">
      <c r="A50" s="349">
        <v>21</v>
      </c>
      <c r="B50" s="353" t="s">
        <v>41</v>
      </c>
      <c r="C50" s="349" t="s">
        <v>365</v>
      </c>
      <c r="D50" s="357">
        <v>5004</v>
      </c>
      <c r="E50" s="357">
        <v>4173</v>
      </c>
      <c r="F50" s="357">
        <v>4537</v>
      </c>
      <c r="G50" s="357">
        <v>4173</v>
      </c>
      <c r="H50" s="357">
        <v>4173</v>
      </c>
      <c r="I50" s="357">
        <v>4173</v>
      </c>
      <c r="J50" s="357">
        <v>4537.3055999999997</v>
      </c>
      <c r="K50" s="357">
        <v>4766.7936</v>
      </c>
      <c r="L50" s="357">
        <v>4537</v>
      </c>
      <c r="M50" s="357">
        <v>5004</v>
      </c>
      <c r="N50" s="357">
        <v>4573</v>
      </c>
      <c r="O50" s="357">
        <v>5720</v>
      </c>
      <c r="P50" s="357">
        <v>5720</v>
      </c>
      <c r="Q50" s="357">
        <v>5720</v>
      </c>
      <c r="R50" s="357">
        <v>5719.7151999999996</v>
      </c>
      <c r="S50" s="357">
        <v>5720</v>
      </c>
      <c r="T50" s="357">
        <v>5720</v>
      </c>
      <c r="U50" s="357">
        <v>5720</v>
      </c>
      <c r="X50" s="357"/>
      <c r="Y50" s="499"/>
    </row>
    <row r="51" spans="1:25">
      <c r="A51" s="349">
        <v>22</v>
      </c>
      <c r="B51" s="353" t="s">
        <v>42</v>
      </c>
      <c r="C51" s="349" t="s">
        <v>365</v>
      </c>
      <c r="D51" s="357">
        <v>6255</v>
      </c>
      <c r="E51" s="357">
        <v>5958</v>
      </c>
      <c r="F51" s="357">
        <v>5958</v>
      </c>
      <c r="G51" s="357">
        <v>5958</v>
      </c>
      <c r="H51" s="357">
        <v>6255</v>
      </c>
      <c r="I51" s="357">
        <v>6255</v>
      </c>
      <c r="J51" s="357">
        <v>6552.4287999999997</v>
      </c>
      <c r="K51" s="357">
        <v>5957.9456</v>
      </c>
      <c r="L51" s="357">
        <v>5958</v>
      </c>
      <c r="M51" s="357">
        <v>6255</v>
      </c>
      <c r="N51" s="357">
        <v>5958</v>
      </c>
      <c r="O51" s="357">
        <v>7149</v>
      </c>
      <c r="P51" s="357">
        <v>7149</v>
      </c>
      <c r="Q51" s="357">
        <v>7149</v>
      </c>
      <c r="R51" s="357">
        <v>7149.0976000000001</v>
      </c>
      <c r="S51" s="357">
        <v>7149</v>
      </c>
      <c r="T51" s="357">
        <v>7149</v>
      </c>
      <c r="U51" s="357">
        <v>7149</v>
      </c>
      <c r="X51" s="357"/>
      <c r="Y51" s="499"/>
    </row>
    <row r="52" spans="1:25">
      <c r="A52" s="349">
        <v>23</v>
      </c>
      <c r="B52" s="353" t="s">
        <v>43</v>
      </c>
      <c r="C52" s="349" t="s">
        <v>365</v>
      </c>
      <c r="D52" s="357">
        <v>2976</v>
      </c>
      <c r="E52" s="357">
        <v>2834</v>
      </c>
      <c r="F52" s="357">
        <v>2834</v>
      </c>
      <c r="G52" s="357">
        <v>2834</v>
      </c>
      <c r="H52" s="357">
        <v>2976</v>
      </c>
      <c r="I52" s="357">
        <v>2976</v>
      </c>
      <c r="J52" s="357">
        <v>3117.7584000000002</v>
      </c>
      <c r="K52" s="357">
        <v>2833.6304</v>
      </c>
      <c r="L52" s="357">
        <v>2834</v>
      </c>
      <c r="M52" s="357">
        <v>2976</v>
      </c>
      <c r="N52" s="357">
        <v>2834</v>
      </c>
      <c r="O52" s="357">
        <v>3401</v>
      </c>
      <c r="P52" s="357">
        <v>3401</v>
      </c>
      <c r="Q52" s="357">
        <v>3401</v>
      </c>
      <c r="R52" s="357">
        <v>3400.7936</v>
      </c>
      <c r="S52" s="357">
        <v>3401</v>
      </c>
      <c r="T52" s="357">
        <v>3401</v>
      </c>
      <c r="U52" s="357">
        <v>3401</v>
      </c>
      <c r="X52" s="357"/>
      <c r="Y52" s="499"/>
    </row>
    <row r="53" spans="1:25">
      <c r="A53" s="349">
        <v>24</v>
      </c>
      <c r="B53" s="353" t="s">
        <v>44</v>
      </c>
      <c r="C53" s="349" t="s">
        <v>365</v>
      </c>
      <c r="D53" s="357">
        <v>1973</v>
      </c>
      <c r="E53" s="357">
        <v>1879</v>
      </c>
      <c r="F53" s="357">
        <v>1879</v>
      </c>
      <c r="G53" s="357">
        <v>1879</v>
      </c>
      <c r="H53" s="357">
        <v>1973</v>
      </c>
      <c r="I53" s="357">
        <v>1973</v>
      </c>
      <c r="J53" s="357">
        <v>2066.4848000000002</v>
      </c>
      <c r="K53" s="357">
        <v>1878.5232000000001</v>
      </c>
      <c r="L53" s="357">
        <v>1879</v>
      </c>
      <c r="M53" s="357">
        <v>1973</v>
      </c>
      <c r="N53" s="357">
        <v>1879</v>
      </c>
      <c r="O53" s="357">
        <v>2254</v>
      </c>
      <c r="P53" s="357">
        <v>2254</v>
      </c>
      <c r="Q53" s="357">
        <v>2254</v>
      </c>
      <c r="R53" s="357">
        <v>2254.4463999999998</v>
      </c>
      <c r="S53" s="357">
        <v>2254</v>
      </c>
      <c r="T53" s="357">
        <v>2254</v>
      </c>
      <c r="U53" s="357">
        <v>2254</v>
      </c>
      <c r="X53" s="357"/>
      <c r="Y53" s="499"/>
    </row>
    <row r="54" spans="1:25">
      <c r="A54" s="349">
        <v>25</v>
      </c>
      <c r="B54" s="353" t="s">
        <v>367</v>
      </c>
      <c r="C54" s="349" t="s">
        <v>365</v>
      </c>
      <c r="D54" s="357">
        <v>5629</v>
      </c>
      <c r="E54" s="357">
        <v>5362</v>
      </c>
      <c r="F54" s="357">
        <v>5362</v>
      </c>
      <c r="G54" s="357">
        <v>5362</v>
      </c>
      <c r="H54" s="357">
        <v>5629</v>
      </c>
      <c r="I54" s="357">
        <v>5629</v>
      </c>
      <c r="J54" s="357">
        <v>5897.8415999999997</v>
      </c>
      <c r="K54" s="357">
        <v>5362.3696</v>
      </c>
      <c r="L54" s="357">
        <v>5362</v>
      </c>
      <c r="M54" s="357">
        <v>5629</v>
      </c>
      <c r="N54" s="357">
        <v>5362</v>
      </c>
      <c r="O54" s="357">
        <v>6434</v>
      </c>
      <c r="P54" s="357">
        <v>6434</v>
      </c>
      <c r="Q54" s="357">
        <v>6434</v>
      </c>
      <c r="R54" s="357">
        <v>6434.4063999999998</v>
      </c>
      <c r="S54" s="357">
        <v>6434</v>
      </c>
      <c r="T54" s="357">
        <v>6434</v>
      </c>
      <c r="U54" s="357">
        <v>6434</v>
      </c>
      <c r="X54" s="357"/>
      <c r="Y54" s="499"/>
    </row>
    <row r="55" spans="1:25">
      <c r="A55" s="349">
        <v>26</v>
      </c>
      <c r="B55" s="353" t="s">
        <v>45</v>
      </c>
      <c r="C55" s="349" t="s">
        <v>365</v>
      </c>
      <c r="D55" s="357">
        <v>3522</v>
      </c>
      <c r="E55" s="357">
        <v>3354</v>
      </c>
      <c r="F55" s="357">
        <v>3354</v>
      </c>
      <c r="G55" s="357">
        <v>3354</v>
      </c>
      <c r="H55" s="357">
        <v>3522</v>
      </c>
      <c r="I55" s="357">
        <v>3522</v>
      </c>
      <c r="J55" s="357">
        <v>3690.3856000000001</v>
      </c>
      <c r="K55" s="357">
        <v>3353.8031999999998</v>
      </c>
      <c r="L55" s="357">
        <v>3354</v>
      </c>
      <c r="M55" s="357">
        <v>3522</v>
      </c>
      <c r="N55" s="357">
        <v>3354</v>
      </c>
      <c r="O55" s="357">
        <v>4025</v>
      </c>
      <c r="P55" s="357">
        <v>4025</v>
      </c>
      <c r="Q55" s="357">
        <v>4025</v>
      </c>
      <c r="R55" s="357">
        <v>4024.7824000000001</v>
      </c>
      <c r="S55" s="357">
        <v>4025</v>
      </c>
      <c r="T55" s="357">
        <v>4025</v>
      </c>
      <c r="U55" s="357">
        <v>4025</v>
      </c>
      <c r="X55" s="357"/>
      <c r="Y55" s="499"/>
    </row>
    <row r="56" spans="1:25">
      <c r="A56" s="349">
        <v>27</v>
      </c>
      <c r="B56" s="353" t="s">
        <v>46</v>
      </c>
      <c r="C56" s="349" t="s">
        <v>365</v>
      </c>
      <c r="D56" s="357">
        <v>4788</v>
      </c>
      <c r="E56" s="357">
        <v>4560</v>
      </c>
      <c r="F56" s="357">
        <v>4560</v>
      </c>
      <c r="G56" s="357">
        <v>4560</v>
      </c>
      <c r="H56" s="357">
        <v>4788</v>
      </c>
      <c r="I56" s="357">
        <v>4788</v>
      </c>
      <c r="J56" s="357">
        <v>5015.9520000000002</v>
      </c>
      <c r="K56" s="357">
        <v>4560.2543999999998</v>
      </c>
      <c r="L56" s="357">
        <v>4560</v>
      </c>
      <c r="M56" s="357">
        <v>4788</v>
      </c>
      <c r="N56" s="357">
        <v>4560</v>
      </c>
      <c r="O56" s="357">
        <v>5473</v>
      </c>
      <c r="P56" s="357">
        <v>5473</v>
      </c>
      <c r="Q56" s="357">
        <v>5473</v>
      </c>
      <c r="R56" s="357">
        <v>5472.7424000000001</v>
      </c>
      <c r="S56" s="357">
        <v>5473</v>
      </c>
      <c r="T56" s="357">
        <v>5473</v>
      </c>
      <c r="U56" s="357">
        <v>5473</v>
      </c>
      <c r="X56" s="357"/>
      <c r="Y56" s="499"/>
    </row>
    <row r="57" spans="1:25">
      <c r="A57" s="349">
        <v>28</v>
      </c>
      <c r="B57" s="353" t="s">
        <v>47</v>
      </c>
      <c r="C57" s="349" t="s">
        <v>365</v>
      </c>
      <c r="D57" s="357">
        <v>3082</v>
      </c>
      <c r="E57" s="357">
        <v>2503</v>
      </c>
      <c r="F57" s="357">
        <v>2720</v>
      </c>
      <c r="G57" s="357">
        <v>2503</v>
      </c>
      <c r="H57" s="357">
        <v>2503</v>
      </c>
      <c r="I57" s="357">
        <v>2503</v>
      </c>
      <c r="J57" s="357">
        <v>2719.9791999999998</v>
      </c>
      <c r="K57" s="357">
        <v>2934.1680000000001</v>
      </c>
      <c r="L57" s="357">
        <v>2720</v>
      </c>
      <c r="M57" s="357">
        <v>3082</v>
      </c>
      <c r="N57" s="357">
        <v>2742</v>
      </c>
      <c r="O57" s="357">
        <v>3356</v>
      </c>
      <c r="P57" s="357">
        <v>3356</v>
      </c>
      <c r="Q57" s="357">
        <v>3356</v>
      </c>
      <c r="R57" s="357">
        <v>3355.9888000000001</v>
      </c>
      <c r="S57" s="357">
        <v>3356</v>
      </c>
      <c r="T57" s="357">
        <v>3356</v>
      </c>
      <c r="U57" s="357">
        <v>3356</v>
      </c>
      <c r="X57" s="357"/>
      <c r="Y57" s="499"/>
    </row>
    <row r="58" spans="1:25">
      <c r="A58" s="349">
        <v>29</v>
      </c>
      <c r="B58" s="353" t="s">
        <v>48</v>
      </c>
      <c r="C58" s="349" t="s">
        <v>365</v>
      </c>
      <c r="D58" s="357">
        <v>2001</v>
      </c>
      <c r="E58" s="357">
        <v>1906</v>
      </c>
      <c r="F58" s="357">
        <v>1906</v>
      </c>
      <c r="G58" s="357">
        <v>1906</v>
      </c>
      <c r="H58" s="357">
        <v>2001</v>
      </c>
      <c r="I58" s="357">
        <v>2001</v>
      </c>
      <c r="J58" s="357">
        <v>2097.0832</v>
      </c>
      <c r="K58" s="357">
        <v>1905.8432</v>
      </c>
      <c r="L58" s="357">
        <v>1906</v>
      </c>
      <c r="M58" s="357">
        <v>2001</v>
      </c>
      <c r="N58" s="357">
        <v>1906</v>
      </c>
      <c r="O58" s="357">
        <v>2288</v>
      </c>
      <c r="P58" s="357">
        <v>2288</v>
      </c>
      <c r="Q58" s="357">
        <v>2288</v>
      </c>
      <c r="R58" s="357">
        <v>2288.3231999999998</v>
      </c>
      <c r="S58" s="357">
        <v>2288</v>
      </c>
      <c r="T58" s="357">
        <v>2288</v>
      </c>
      <c r="U58" s="357">
        <v>2288</v>
      </c>
      <c r="X58" s="357"/>
      <c r="Y58" s="499"/>
    </row>
    <row r="59" spans="1:25">
      <c r="A59" s="349">
        <v>30</v>
      </c>
      <c r="B59" s="353" t="s">
        <v>49</v>
      </c>
      <c r="C59" s="349" t="s">
        <v>365</v>
      </c>
      <c r="D59" s="357">
        <v>5812</v>
      </c>
      <c r="E59" s="357">
        <v>5096</v>
      </c>
      <c r="F59" s="357">
        <v>5534</v>
      </c>
      <c r="G59" s="357">
        <v>5096</v>
      </c>
      <c r="H59" s="357">
        <v>5096</v>
      </c>
      <c r="I59" s="357">
        <v>5096</v>
      </c>
      <c r="J59" s="357">
        <v>5538.3104000000003</v>
      </c>
      <c r="K59" s="357">
        <v>5533.9391999999998</v>
      </c>
      <c r="L59" s="357">
        <v>5534</v>
      </c>
      <c r="M59" s="357">
        <v>5812</v>
      </c>
      <c r="N59" s="357">
        <v>5534</v>
      </c>
      <c r="O59" s="357">
        <v>6641</v>
      </c>
      <c r="P59" s="357">
        <v>6641</v>
      </c>
      <c r="Q59" s="357">
        <v>6641</v>
      </c>
      <c r="R59" s="357">
        <v>6640.9456</v>
      </c>
      <c r="S59" s="357">
        <v>6641</v>
      </c>
      <c r="T59" s="357">
        <v>6641</v>
      </c>
      <c r="U59" s="357">
        <v>6641</v>
      </c>
      <c r="X59" s="357"/>
      <c r="Y59" s="499"/>
    </row>
    <row r="60" spans="1:25">
      <c r="A60" s="349">
        <v>31</v>
      </c>
      <c r="B60" s="353" t="s">
        <v>50</v>
      </c>
      <c r="C60" s="349" t="s">
        <v>365</v>
      </c>
      <c r="D60" s="357">
        <v>2489</v>
      </c>
      <c r="E60" s="357">
        <v>2183</v>
      </c>
      <c r="F60" s="357">
        <v>2371</v>
      </c>
      <c r="G60" s="357">
        <v>2183</v>
      </c>
      <c r="H60" s="357">
        <v>2183</v>
      </c>
      <c r="I60" s="357">
        <v>2183</v>
      </c>
      <c r="J60" s="357">
        <v>2373.5616</v>
      </c>
      <c r="K60" s="357">
        <v>2371.3760000000002</v>
      </c>
      <c r="L60" s="357">
        <v>2371</v>
      </c>
      <c r="M60" s="357">
        <v>2489</v>
      </c>
      <c r="N60" s="357">
        <v>2175</v>
      </c>
      <c r="O60" s="357">
        <v>2754</v>
      </c>
      <c r="P60" s="357">
        <v>2754</v>
      </c>
      <c r="Q60" s="357">
        <v>2754</v>
      </c>
      <c r="R60" s="357">
        <v>2753.8559999999998</v>
      </c>
      <c r="S60" s="357">
        <v>2754</v>
      </c>
      <c r="T60" s="357">
        <v>2754</v>
      </c>
      <c r="U60" s="357">
        <v>2754</v>
      </c>
      <c r="X60" s="357"/>
      <c r="Y60" s="499"/>
    </row>
    <row r="61" spans="1:25">
      <c r="A61" s="349">
        <v>32</v>
      </c>
      <c r="B61" s="353" t="s">
        <v>51</v>
      </c>
      <c r="C61" s="349" t="s">
        <v>365</v>
      </c>
      <c r="D61" s="357">
        <v>15245</v>
      </c>
      <c r="E61" s="357">
        <v>14519</v>
      </c>
      <c r="F61" s="357">
        <v>14519</v>
      </c>
      <c r="G61" s="357">
        <v>14519</v>
      </c>
      <c r="H61" s="357">
        <v>15245</v>
      </c>
      <c r="I61" s="357">
        <v>15245</v>
      </c>
      <c r="J61" s="357">
        <v>15971.272000000001</v>
      </c>
      <c r="K61" s="357">
        <v>14518.9408</v>
      </c>
      <c r="L61" s="357">
        <v>14519</v>
      </c>
      <c r="M61" s="357">
        <v>15245</v>
      </c>
      <c r="N61" s="357">
        <v>14519</v>
      </c>
      <c r="O61" s="357">
        <v>17423</v>
      </c>
      <c r="P61" s="357">
        <v>17423</v>
      </c>
      <c r="Q61" s="357">
        <v>17423</v>
      </c>
      <c r="R61" s="357">
        <v>17422.510399999999</v>
      </c>
      <c r="S61" s="357">
        <v>17423</v>
      </c>
      <c r="T61" s="357">
        <v>17423</v>
      </c>
      <c r="U61" s="357">
        <v>17423</v>
      </c>
      <c r="X61" s="357"/>
      <c r="Y61" s="499"/>
    </row>
    <row r="62" spans="1:25">
      <c r="A62" s="349">
        <v>33</v>
      </c>
      <c r="B62" s="353" t="s">
        <v>52</v>
      </c>
      <c r="C62" s="349" t="s">
        <v>365</v>
      </c>
      <c r="D62" s="357">
        <v>13451</v>
      </c>
      <c r="E62" s="357">
        <v>12811</v>
      </c>
      <c r="F62" s="357">
        <v>12811</v>
      </c>
      <c r="G62" s="357">
        <v>12811</v>
      </c>
      <c r="H62" s="357">
        <v>13451</v>
      </c>
      <c r="I62" s="357">
        <v>13451</v>
      </c>
      <c r="J62" s="357">
        <v>14091.655999999999</v>
      </c>
      <c r="K62" s="357">
        <v>12810.894399999999</v>
      </c>
      <c r="L62" s="357">
        <v>12811</v>
      </c>
      <c r="M62" s="357">
        <v>13451</v>
      </c>
      <c r="N62" s="357">
        <v>12811</v>
      </c>
      <c r="O62" s="357">
        <v>15371</v>
      </c>
      <c r="P62" s="357">
        <v>15371</v>
      </c>
      <c r="Q62" s="357">
        <v>15371</v>
      </c>
      <c r="R62" s="357">
        <v>15371.3248</v>
      </c>
      <c r="S62" s="357">
        <v>15371</v>
      </c>
      <c r="T62" s="357">
        <v>15371</v>
      </c>
      <c r="U62" s="357">
        <v>15371</v>
      </c>
      <c r="X62" s="357"/>
      <c r="Y62" s="499"/>
    </row>
    <row r="63" spans="1:25">
      <c r="A63" s="349">
        <v>34</v>
      </c>
      <c r="B63" s="353" t="s">
        <v>53</v>
      </c>
      <c r="C63" s="349" t="s">
        <v>365</v>
      </c>
      <c r="D63" s="357">
        <v>3540</v>
      </c>
      <c r="E63" s="357">
        <v>3370</v>
      </c>
      <c r="F63" s="357">
        <v>3370</v>
      </c>
      <c r="G63" s="357">
        <v>3370</v>
      </c>
      <c r="H63" s="357">
        <v>3540</v>
      </c>
      <c r="I63" s="357">
        <v>3540</v>
      </c>
      <c r="J63" s="357">
        <v>3706.7775999999999</v>
      </c>
      <c r="K63" s="357">
        <v>3370.1952000000001</v>
      </c>
      <c r="L63" s="357">
        <v>3370</v>
      </c>
      <c r="M63" s="357">
        <v>3540</v>
      </c>
      <c r="N63" s="357">
        <v>3370</v>
      </c>
      <c r="O63" s="357">
        <v>4044</v>
      </c>
      <c r="P63" s="357">
        <v>4044</v>
      </c>
      <c r="Q63" s="357">
        <v>4044</v>
      </c>
      <c r="R63" s="357">
        <v>4044.4528</v>
      </c>
      <c r="S63" s="357">
        <v>4044</v>
      </c>
      <c r="T63" s="357">
        <v>4044</v>
      </c>
      <c r="U63" s="357">
        <v>4044</v>
      </c>
      <c r="X63" s="357"/>
      <c r="Y63" s="499"/>
    </row>
    <row r="64" spans="1:25">
      <c r="A64" s="349">
        <v>35</v>
      </c>
      <c r="B64" s="353" t="s">
        <v>54</v>
      </c>
      <c r="C64" s="349" t="s">
        <v>365</v>
      </c>
      <c r="D64" s="357">
        <v>3089</v>
      </c>
      <c r="E64" s="357">
        <v>2942</v>
      </c>
      <c r="F64" s="357">
        <v>2942</v>
      </c>
      <c r="G64" s="357">
        <v>2942</v>
      </c>
      <c r="H64" s="357">
        <v>3089</v>
      </c>
      <c r="I64" s="357">
        <v>3089</v>
      </c>
      <c r="J64" s="357">
        <v>3235.7808</v>
      </c>
      <c r="K64" s="357">
        <v>2941.8175999999999</v>
      </c>
      <c r="L64" s="357">
        <v>2942</v>
      </c>
      <c r="M64" s="357">
        <v>3089</v>
      </c>
      <c r="N64" s="357">
        <v>2942</v>
      </c>
      <c r="O64" s="357">
        <v>3531</v>
      </c>
      <c r="P64" s="357">
        <v>3531</v>
      </c>
      <c r="Q64" s="357">
        <v>3531</v>
      </c>
      <c r="R64" s="357">
        <v>3530.8368</v>
      </c>
      <c r="S64" s="357">
        <v>3531</v>
      </c>
      <c r="T64" s="357">
        <v>3531</v>
      </c>
      <c r="U64" s="357">
        <v>3531</v>
      </c>
      <c r="X64" s="357"/>
      <c r="Y64" s="499"/>
    </row>
    <row r="65" spans="1:25">
      <c r="A65" s="349">
        <v>36</v>
      </c>
      <c r="B65" s="353" t="s">
        <v>55</v>
      </c>
      <c r="C65" s="349" t="s">
        <v>365</v>
      </c>
      <c r="D65" s="357">
        <v>11893</v>
      </c>
      <c r="E65" s="357">
        <v>11327</v>
      </c>
      <c r="F65" s="357">
        <v>11327</v>
      </c>
      <c r="G65" s="357">
        <v>11327</v>
      </c>
      <c r="H65" s="357">
        <v>11893</v>
      </c>
      <c r="I65" s="357">
        <v>11893</v>
      </c>
      <c r="J65" s="357">
        <v>12459.0128</v>
      </c>
      <c r="K65" s="357">
        <v>11326.871999999999</v>
      </c>
      <c r="L65" s="357">
        <v>11327</v>
      </c>
      <c r="M65" s="357">
        <v>11893</v>
      </c>
      <c r="N65" s="357">
        <v>11327</v>
      </c>
      <c r="O65" s="357">
        <v>13593</v>
      </c>
      <c r="P65" s="357">
        <v>13593</v>
      </c>
      <c r="Q65" s="357">
        <v>13593</v>
      </c>
      <c r="R65" s="357">
        <v>13593.3392</v>
      </c>
      <c r="S65" s="357">
        <v>13593</v>
      </c>
      <c r="T65" s="357">
        <v>13593</v>
      </c>
      <c r="U65" s="357">
        <v>13593</v>
      </c>
      <c r="X65" s="357"/>
      <c r="Y65" s="499"/>
    </row>
    <row r="66" spans="1:25">
      <c r="A66" s="349">
        <v>37</v>
      </c>
      <c r="B66" s="353" t="s">
        <v>56</v>
      </c>
      <c r="C66" s="349" t="s">
        <v>365</v>
      </c>
      <c r="D66" s="357">
        <v>3269</v>
      </c>
      <c r="E66" s="357">
        <v>3269</v>
      </c>
      <c r="F66" s="357">
        <v>3269</v>
      </c>
      <c r="G66" s="357">
        <v>3269</v>
      </c>
      <c r="H66" s="357">
        <v>3269</v>
      </c>
      <c r="I66" s="357">
        <v>3269</v>
      </c>
      <c r="J66" s="357">
        <v>3268.5648000000001</v>
      </c>
      <c r="K66" s="357">
        <v>3268.5648000000001</v>
      </c>
      <c r="L66" s="357">
        <v>3269</v>
      </c>
      <c r="M66" s="357">
        <v>3269</v>
      </c>
      <c r="N66" s="357">
        <v>3308</v>
      </c>
      <c r="O66" s="357">
        <v>3269</v>
      </c>
      <c r="P66" s="357">
        <v>3269</v>
      </c>
      <c r="Q66" s="357">
        <v>3269</v>
      </c>
      <c r="R66" s="357">
        <v>3268.5648000000001</v>
      </c>
      <c r="S66" s="357">
        <v>3269</v>
      </c>
      <c r="T66" s="357">
        <v>3269</v>
      </c>
      <c r="U66" s="357">
        <v>3269</v>
      </c>
      <c r="X66" s="357"/>
      <c r="Y66" s="499"/>
    </row>
    <row r="67" spans="1:25">
      <c r="A67" s="349">
        <v>38</v>
      </c>
      <c r="B67" s="353" t="s">
        <v>57</v>
      </c>
      <c r="C67" s="349" t="s">
        <v>365</v>
      </c>
      <c r="D67" s="357">
        <v>2156</v>
      </c>
      <c r="E67" s="357">
        <v>2053</v>
      </c>
      <c r="F67" s="357">
        <v>2053</v>
      </c>
      <c r="G67" s="357">
        <v>2053</v>
      </c>
      <c r="H67" s="357">
        <v>2156</v>
      </c>
      <c r="I67" s="357">
        <v>2156</v>
      </c>
      <c r="J67" s="357">
        <v>2258.8175999999999</v>
      </c>
      <c r="K67" s="357">
        <v>2053.3712</v>
      </c>
      <c r="L67" s="357">
        <v>2053</v>
      </c>
      <c r="M67" s="357">
        <v>2156</v>
      </c>
      <c r="N67" s="357">
        <v>2053</v>
      </c>
      <c r="O67" s="357">
        <v>2463</v>
      </c>
      <c r="P67" s="357">
        <v>2463</v>
      </c>
      <c r="Q67" s="357">
        <v>2463</v>
      </c>
      <c r="R67" s="357">
        <v>2463.1711999999998</v>
      </c>
      <c r="S67" s="357">
        <v>2463</v>
      </c>
      <c r="T67" s="357">
        <v>2463</v>
      </c>
      <c r="U67" s="357">
        <v>2463</v>
      </c>
      <c r="X67" s="357"/>
      <c r="Y67" s="499"/>
    </row>
    <row r="68" spans="1:25">
      <c r="A68" s="349">
        <v>39</v>
      </c>
      <c r="B68" s="353" t="s">
        <v>58</v>
      </c>
      <c r="C68" s="349" t="s">
        <v>365</v>
      </c>
      <c r="D68" s="357">
        <v>6811</v>
      </c>
      <c r="E68" s="357">
        <v>6488</v>
      </c>
      <c r="F68" s="357">
        <v>6488</v>
      </c>
      <c r="G68" s="357">
        <v>6488</v>
      </c>
      <c r="H68" s="357">
        <v>6811</v>
      </c>
      <c r="I68" s="357">
        <v>6811</v>
      </c>
      <c r="J68" s="357">
        <v>7135.9840000000004</v>
      </c>
      <c r="K68" s="357">
        <v>6487.9535999999998</v>
      </c>
      <c r="L68" s="357">
        <v>6488</v>
      </c>
      <c r="M68" s="357">
        <v>6811</v>
      </c>
      <c r="N68" s="357">
        <v>6488</v>
      </c>
      <c r="O68" s="357">
        <v>7784</v>
      </c>
      <c r="P68" s="357">
        <v>7784</v>
      </c>
      <c r="Q68" s="357">
        <v>7784</v>
      </c>
      <c r="R68" s="357">
        <v>7784.0144</v>
      </c>
      <c r="S68" s="357">
        <v>7784</v>
      </c>
      <c r="T68" s="357">
        <v>7784</v>
      </c>
      <c r="U68" s="357">
        <v>7784</v>
      </c>
      <c r="X68" s="357"/>
      <c r="Y68" s="499"/>
    </row>
    <row r="69" spans="1:25">
      <c r="A69" s="349">
        <v>40</v>
      </c>
      <c r="B69" s="353" t="s">
        <v>59</v>
      </c>
      <c r="C69" s="349" t="s">
        <v>365</v>
      </c>
      <c r="D69" s="357">
        <v>5255</v>
      </c>
      <c r="E69" s="357">
        <v>5004</v>
      </c>
      <c r="F69" s="357">
        <v>5004</v>
      </c>
      <c r="G69" s="357">
        <v>5004</v>
      </c>
      <c r="H69" s="357">
        <v>5255</v>
      </c>
      <c r="I69" s="357">
        <v>5255</v>
      </c>
      <c r="J69" s="357">
        <v>5504.4336000000003</v>
      </c>
      <c r="K69" s="357">
        <v>5003.9312</v>
      </c>
      <c r="L69" s="357">
        <v>5004</v>
      </c>
      <c r="M69" s="357">
        <v>5255</v>
      </c>
      <c r="N69" s="357">
        <v>5004</v>
      </c>
      <c r="O69" s="357">
        <v>6005</v>
      </c>
      <c r="P69" s="357">
        <v>6005</v>
      </c>
      <c r="Q69" s="357">
        <v>6005</v>
      </c>
      <c r="R69" s="357">
        <v>6004.9359999999997</v>
      </c>
      <c r="S69" s="357">
        <v>6005</v>
      </c>
      <c r="T69" s="357">
        <v>6005</v>
      </c>
      <c r="U69" s="357">
        <v>6005</v>
      </c>
      <c r="X69" s="357"/>
      <c r="Y69" s="499"/>
    </row>
    <row r="70" spans="1:25">
      <c r="A70" s="349">
        <v>41</v>
      </c>
      <c r="B70" s="353" t="s">
        <v>60</v>
      </c>
      <c r="C70" s="349" t="s">
        <v>365</v>
      </c>
      <c r="D70" s="357">
        <v>1992</v>
      </c>
      <c r="E70" s="357">
        <v>1897</v>
      </c>
      <c r="F70" s="357">
        <v>1897</v>
      </c>
      <c r="G70" s="357">
        <v>1897</v>
      </c>
      <c r="H70" s="357">
        <v>1992</v>
      </c>
      <c r="I70" s="357">
        <v>1992</v>
      </c>
      <c r="J70" s="357">
        <v>2088.3407999999999</v>
      </c>
      <c r="K70" s="357">
        <v>1897.1007999999999</v>
      </c>
      <c r="L70" s="357">
        <v>1897</v>
      </c>
      <c r="M70" s="357">
        <v>1992</v>
      </c>
      <c r="N70" s="357">
        <v>1897</v>
      </c>
      <c r="O70" s="357">
        <v>2277</v>
      </c>
      <c r="P70" s="357">
        <v>2277</v>
      </c>
      <c r="Q70" s="357">
        <v>2277</v>
      </c>
      <c r="R70" s="357">
        <v>2277.3951999999999</v>
      </c>
      <c r="S70" s="357">
        <v>2277</v>
      </c>
      <c r="T70" s="357">
        <v>2277</v>
      </c>
      <c r="U70" s="357">
        <v>2277</v>
      </c>
      <c r="X70" s="357"/>
      <c r="Y70" s="499"/>
    </row>
    <row r="71" spans="1:25">
      <c r="A71" s="349">
        <v>42</v>
      </c>
      <c r="B71" s="353" t="s">
        <v>61</v>
      </c>
      <c r="C71" s="349" t="s">
        <v>365</v>
      </c>
      <c r="D71" s="357">
        <v>3243</v>
      </c>
      <c r="E71" s="357">
        <v>3089</v>
      </c>
      <c r="F71" s="357">
        <v>3089</v>
      </c>
      <c r="G71" s="357">
        <v>3089</v>
      </c>
      <c r="H71" s="357">
        <v>3243</v>
      </c>
      <c r="I71" s="357">
        <v>3243</v>
      </c>
      <c r="J71" s="357">
        <v>3398.6080000000002</v>
      </c>
      <c r="K71" s="357">
        <v>3089.3456000000001</v>
      </c>
      <c r="L71" s="357">
        <v>3089</v>
      </c>
      <c r="M71" s="357">
        <v>3243</v>
      </c>
      <c r="N71" s="357">
        <v>3089</v>
      </c>
      <c r="O71" s="357">
        <v>3613</v>
      </c>
      <c r="P71" s="357">
        <v>3613</v>
      </c>
      <c r="Q71" s="357">
        <v>3613</v>
      </c>
      <c r="R71" s="357">
        <v>3612.7968000000001</v>
      </c>
      <c r="S71" s="357">
        <v>3613</v>
      </c>
      <c r="T71" s="357">
        <v>3613</v>
      </c>
      <c r="U71" s="357">
        <v>3613</v>
      </c>
      <c r="X71" s="357"/>
      <c r="Y71" s="499"/>
    </row>
    <row r="72" spans="1:25">
      <c r="A72" s="349">
        <v>43</v>
      </c>
      <c r="B72" s="353" t="s">
        <v>62</v>
      </c>
      <c r="C72" s="349" t="s">
        <v>365</v>
      </c>
      <c r="D72" s="357">
        <v>4450</v>
      </c>
      <c r="E72" s="357">
        <v>4450</v>
      </c>
      <c r="F72" s="357">
        <v>4450</v>
      </c>
      <c r="G72" s="357">
        <v>4450</v>
      </c>
      <c r="H72" s="357">
        <v>4450</v>
      </c>
      <c r="I72" s="357">
        <v>4450</v>
      </c>
      <c r="J72" s="357">
        <v>4449.8815999999997</v>
      </c>
      <c r="K72" s="357">
        <v>4449.8815999999997</v>
      </c>
      <c r="L72" s="357">
        <v>4450</v>
      </c>
      <c r="M72" s="357">
        <v>4450</v>
      </c>
      <c r="N72" s="357">
        <v>7888</v>
      </c>
      <c r="O72" s="357">
        <v>11126</v>
      </c>
      <c r="P72" s="357">
        <v>11646</v>
      </c>
      <c r="Q72" s="357">
        <v>11126</v>
      </c>
      <c r="R72" s="357">
        <v>9889.84</v>
      </c>
      <c r="S72" s="357">
        <v>11373</v>
      </c>
      <c r="T72" s="357">
        <v>11373</v>
      </c>
      <c r="U72" s="357">
        <v>11373</v>
      </c>
      <c r="X72" s="357"/>
      <c r="Y72" s="499"/>
    </row>
    <row r="73" spans="1:25">
      <c r="A73" s="349">
        <v>44</v>
      </c>
      <c r="B73" s="353" t="s">
        <v>63</v>
      </c>
      <c r="C73" s="349" t="s">
        <v>365</v>
      </c>
      <c r="D73" s="357">
        <v>20240</v>
      </c>
      <c r="E73" s="357">
        <v>19277</v>
      </c>
      <c r="F73" s="357">
        <v>19277</v>
      </c>
      <c r="G73" s="357">
        <v>19277</v>
      </c>
      <c r="H73" s="357">
        <v>19572</v>
      </c>
      <c r="I73" s="357">
        <v>19572</v>
      </c>
      <c r="J73" s="357">
        <v>21203.598399999999</v>
      </c>
      <c r="K73" s="357">
        <v>19276.991999999998</v>
      </c>
      <c r="L73" s="357">
        <v>19277</v>
      </c>
      <c r="M73" s="357">
        <v>20240</v>
      </c>
      <c r="N73" s="357">
        <v>19277</v>
      </c>
      <c r="O73" s="357">
        <v>23132</v>
      </c>
      <c r="P73" s="357">
        <v>23132</v>
      </c>
      <c r="Q73" s="357">
        <v>23132</v>
      </c>
      <c r="R73" s="357">
        <v>23132.3904</v>
      </c>
      <c r="S73" s="357">
        <v>23132</v>
      </c>
      <c r="T73" s="357">
        <v>23132</v>
      </c>
      <c r="U73" s="357">
        <v>23132</v>
      </c>
      <c r="X73" s="357"/>
      <c r="Y73" s="499"/>
    </row>
    <row r="74" spans="1:25">
      <c r="A74" s="349">
        <v>45</v>
      </c>
      <c r="B74" s="353" t="s">
        <v>64</v>
      </c>
      <c r="C74" s="349" t="s">
        <v>365</v>
      </c>
      <c r="D74" s="357">
        <v>8433</v>
      </c>
      <c r="E74" s="357">
        <v>8031</v>
      </c>
      <c r="F74" s="357">
        <v>8031</v>
      </c>
      <c r="G74" s="357">
        <v>8031</v>
      </c>
      <c r="H74" s="357">
        <v>8433</v>
      </c>
      <c r="I74" s="357">
        <v>8433</v>
      </c>
      <c r="J74" s="357">
        <v>8835.2880000000005</v>
      </c>
      <c r="K74" s="357">
        <v>8030.9871999999996</v>
      </c>
      <c r="L74" s="357">
        <v>8031</v>
      </c>
      <c r="M74" s="357">
        <v>8433</v>
      </c>
      <c r="N74" s="357">
        <v>8031</v>
      </c>
      <c r="O74" s="357">
        <v>9394</v>
      </c>
      <c r="P74" s="357">
        <v>9394</v>
      </c>
      <c r="Q74" s="357">
        <v>9394</v>
      </c>
      <c r="R74" s="357">
        <v>9393.7088000000003</v>
      </c>
      <c r="S74" s="357">
        <v>9394</v>
      </c>
      <c r="T74" s="357">
        <v>9394</v>
      </c>
      <c r="U74" s="357">
        <v>9394</v>
      </c>
      <c r="X74" s="357"/>
      <c r="Y74" s="499"/>
    </row>
    <row r="75" spans="1:25">
      <c r="A75" s="349">
        <v>46</v>
      </c>
      <c r="B75" s="353" t="s">
        <v>65</v>
      </c>
      <c r="C75" s="349" t="s">
        <v>365</v>
      </c>
      <c r="D75" s="357">
        <v>8433</v>
      </c>
      <c r="E75" s="357">
        <v>8031</v>
      </c>
      <c r="F75" s="357">
        <v>8031</v>
      </c>
      <c r="G75" s="357">
        <v>8031</v>
      </c>
      <c r="H75" s="357">
        <v>8433</v>
      </c>
      <c r="I75" s="357">
        <v>8433</v>
      </c>
      <c r="J75" s="357">
        <v>8835.2880000000005</v>
      </c>
      <c r="K75" s="357">
        <v>8030.9871999999996</v>
      </c>
      <c r="L75" s="357">
        <v>8031</v>
      </c>
      <c r="M75" s="357">
        <v>8433</v>
      </c>
      <c r="N75" s="357">
        <v>8031</v>
      </c>
      <c r="O75" s="357">
        <v>9638</v>
      </c>
      <c r="P75" s="357">
        <v>9638</v>
      </c>
      <c r="Q75" s="357">
        <v>9638</v>
      </c>
      <c r="R75" s="357">
        <v>9638.4959999999992</v>
      </c>
      <c r="S75" s="357">
        <v>9638</v>
      </c>
      <c r="T75" s="357">
        <v>9638</v>
      </c>
      <c r="U75" s="357">
        <v>9638</v>
      </c>
      <c r="X75" s="357"/>
      <c r="Y75" s="499"/>
    </row>
    <row r="76" spans="1:25">
      <c r="A76" s="349">
        <v>47</v>
      </c>
      <c r="B76" s="353" t="s">
        <v>66</v>
      </c>
      <c r="C76" s="349" t="s">
        <v>365</v>
      </c>
      <c r="D76" s="357">
        <v>15614</v>
      </c>
      <c r="E76" s="357">
        <v>14870</v>
      </c>
      <c r="F76" s="357">
        <v>14870</v>
      </c>
      <c r="G76" s="357">
        <v>14870</v>
      </c>
      <c r="H76" s="357">
        <v>15614</v>
      </c>
      <c r="I76" s="357">
        <v>15614</v>
      </c>
      <c r="J76" s="357">
        <v>16357.0304</v>
      </c>
      <c r="K76" s="357">
        <v>14869.729600000001</v>
      </c>
      <c r="L76" s="357">
        <v>14870</v>
      </c>
      <c r="M76" s="357">
        <v>15614</v>
      </c>
      <c r="N76" s="357">
        <v>14870</v>
      </c>
      <c r="O76" s="357">
        <v>17844</v>
      </c>
      <c r="P76" s="357">
        <v>17844</v>
      </c>
      <c r="Q76" s="357">
        <v>17844</v>
      </c>
      <c r="R76" s="357">
        <v>17844.331200000001</v>
      </c>
      <c r="S76" s="357">
        <v>17844</v>
      </c>
      <c r="T76" s="357">
        <v>17844</v>
      </c>
      <c r="U76" s="357">
        <v>17844</v>
      </c>
      <c r="X76" s="357"/>
      <c r="Y76" s="499"/>
    </row>
    <row r="77" spans="1:25">
      <c r="A77" s="349">
        <v>48</v>
      </c>
      <c r="B77" s="353" t="s">
        <v>67</v>
      </c>
      <c r="C77" s="349" t="s">
        <v>365</v>
      </c>
      <c r="D77" s="357">
        <v>35163</v>
      </c>
      <c r="E77" s="357">
        <v>33488</v>
      </c>
      <c r="F77" s="357">
        <v>33488</v>
      </c>
      <c r="G77" s="357">
        <v>33488</v>
      </c>
      <c r="H77" s="357">
        <v>35163</v>
      </c>
      <c r="I77" s="357">
        <v>35163</v>
      </c>
      <c r="J77" s="357">
        <v>36837.195200000002</v>
      </c>
      <c r="K77" s="357">
        <v>33487.763200000001</v>
      </c>
      <c r="L77" s="357">
        <v>33488</v>
      </c>
      <c r="M77" s="357">
        <v>35163</v>
      </c>
      <c r="N77" s="357">
        <v>33488</v>
      </c>
      <c r="O77" s="357">
        <v>40186</v>
      </c>
      <c r="P77" s="357">
        <v>40186</v>
      </c>
      <c r="Q77" s="357">
        <v>40186</v>
      </c>
      <c r="R77" s="357">
        <v>40185.534399999997</v>
      </c>
      <c r="S77" s="357">
        <v>40186</v>
      </c>
      <c r="T77" s="357">
        <v>40186</v>
      </c>
      <c r="U77" s="357">
        <v>40186</v>
      </c>
      <c r="X77" s="357"/>
      <c r="Y77" s="499"/>
    </row>
    <row r="78" spans="1:25">
      <c r="A78" s="349">
        <v>49</v>
      </c>
      <c r="B78" s="353" t="s">
        <v>68</v>
      </c>
      <c r="C78" s="349" t="s">
        <v>365</v>
      </c>
      <c r="D78" s="357">
        <v>19277</v>
      </c>
      <c r="E78" s="357">
        <v>18072</v>
      </c>
      <c r="F78" s="357">
        <v>18358</v>
      </c>
      <c r="G78" s="357">
        <v>18072</v>
      </c>
      <c r="H78" s="357">
        <v>18072</v>
      </c>
      <c r="I78" s="357">
        <v>18072</v>
      </c>
      <c r="J78" s="357">
        <v>19643.080000000002</v>
      </c>
      <c r="K78" s="357">
        <v>18357.947199999999</v>
      </c>
      <c r="L78" s="357">
        <v>18358</v>
      </c>
      <c r="M78" s="357">
        <v>19277</v>
      </c>
      <c r="N78" s="357">
        <v>18358</v>
      </c>
      <c r="O78" s="357">
        <v>21992</v>
      </c>
      <c r="P78" s="357">
        <v>21992</v>
      </c>
      <c r="Q78" s="357">
        <v>21992</v>
      </c>
      <c r="R78" s="357">
        <v>21991.5072</v>
      </c>
      <c r="S78" s="357">
        <v>21992</v>
      </c>
      <c r="T78" s="357">
        <v>21992</v>
      </c>
      <c r="U78" s="357">
        <v>21992</v>
      </c>
      <c r="X78" s="357"/>
      <c r="Y78" s="499"/>
    </row>
    <row r="79" spans="1:25">
      <c r="A79" s="349">
        <v>50</v>
      </c>
      <c r="B79" s="353" t="s">
        <v>69</v>
      </c>
      <c r="C79" s="349" t="s">
        <v>365</v>
      </c>
      <c r="D79" s="357">
        <v>7945</v>
      </c>
      <c r="E79" s="357">
        <v>7567</v>
      </c>
      <c r="F79" s="357">
        <v>7567</v>
      </c>
      <c r="G79" s="357">
        <v>7567</v>
      </c>
      <c r="H79" s="357">
        <v>7945</v>
      </c>
      <c r="I79" s="357">
        <v>7945</v>
      </c>
      <c r="J79" s="357">
        <v>8322.7648000000008</v>
      </c>
      <c r="K79" s="357">
        <v>7566.5472</v>
      </c>
      <c r="L79" s="357">
        <v>7567</v>
      </c>
      <c r="M79" s="357">
        <v>7945</v>
      </c>
      <c r="N79" s="357">
        <v>7567</v>
      </c>
      <c r="O79" s="357">
        <v>9081</v>
      </c>
      <c r="P79" s="357">
        <v>9081</v>
      </c>
      <c r="Q79" s="357">
        <v>9081</v>
      </c>
      <c r="R79" s="357">
        <v>9081.1679999999997</v>
      </c>
      <c r="S79" s="357">
        <v>9081</v>
      </c>
      <c r="T79" s="357">
        <v>9081</v>
      </c>
      <c r="U79" s="357">
        <v>9081</v>
      </c>
      <c r="X79" s="357"/>
      <c r="Y79" s="499"/>
    </row>
    <row r="80" spans="1:25">
      <c r="A80" s="349">
        <v>51</v>
      </c>
      <c r="B80" s="353" t="s">
        <v>70</v>
      </c>
      <c r="C80" s="349" t="s">
        <v>365</v>
      </c>
      <c r="D80" s="357">
        <v>6507</v>
      </c>
      <c r="E80" s="357">
        <v>6196</v>
      </c>
      <c r="F80" s="357">
        <v>6196</v>
      </c>
      <c r="G80" s="357">
        <v>6196</v>
      </c>
      <c r="H80" s="357">
        <v>6507</v>
      </c>
      <c r="I80" s="357">
        <v>6507</v>
      </c>
      <c r="J80" s="357">
        <v>6815.7936</v>
      </c>
      <c r="K80" s="357">
        <v>6196.1759999999995</v>
      </c>
      <c r="L80" s="357">
        <v>6196</v>
      </c>
      <c r="M80" s="357">
        <v>6507</v>
      </c>
      <c r="N80" s="357">
        <v>6196</v>
      </c>
      <c r="O80" s="357">
        <v>7435</v>
      </c>
      <c r="P80" s="357">
        <v>7435</v>
      </c>
      <c r="Q80" s="357">
        <v>7435</v>
      </c>
      <c r="R80" s="357">
        <v>7435.4112000000005</v>
      </c>
      <c r="S80" s="357">
        <v>7435</v>
      </c>
      <c r="T80" s="357">
        <v>7435</v>
      </c>
      <c r="U80" s="357">
        <v>7435</v>
      </c>
      <c r="X80" s="357"/>
      <c r="Y80" s="499"/>
    </row>
    <row r="81" spans="1:25">
      <c r="A81" s="349">
        <v>52</v>
      </c>
      <c r="B81" s="353" t="s">
        <v>71</v>
      </c>
      <c r="C81" s="349" t="s">
        <v>365</v>
      </c>
      <c r="D81" s="357">
        <v>7309</v>
      </c>
      <c r="E81" s="357">
        <v>6960</v>
      </c>
      <c r="F81" s="357">
        <v>6960</v>
      </c>
      <c r="G81" s="357">
        <v>6960</v>
      </c>
      <c r="H81" s="357">
        <v>7309</v>
      </c>
      <c r="I81" s="357">
        <v>7309</v>
      </c>
      <c r="J81" s="357">
        <v>7656.1567999999997</v>
      </c>
      <c r="K81" s="357">
        <v>6960.0432000000001</v>
      </c>
      <c r="L81" s="357">
        <v>6960</v>
      </c>
      <c r="M81" s="357">
        <v>7309</v>
      </c>
      <c r="N81" s="357">
        <v>6960</v>
      </c>
      <c r="O81" s="357">
        <v>8351</v>
      </c>
      <c r="P81" s="357">
        <v>8351</v>
      </c>
      <c r="Q81" s="357">
        <v>8351</v>
      </c>
      <c r="R81" s="357">
        <v>8351.1775999999991</v>
      </c>
      <c r="S81" s="357">
        <v>8351</v>
      </c>
      <c r="T81" s="357">
        <v>8351</v>
      </c>
      <c r="U81" s="357">
        <v>8351</v>
      </c>
      <c r="X81" s="357"/>
      <c r="Y81" s="499"/>
    </row>
    <row r="82" spans="1:25">
      <c r="A82" s="349">
        <v>53</v>
      </c>
      <c r="B82" s="353" t="s">
        <v>72</v>
      </c>
      <c r="C82" s="349" t="s">
        <v>365</v>
      </c>
      <c r="D82" s="357">
        <v>10525</v>
      </c>
      <c r="E82" s="357">
        <v>10525</v>
      </c>
      <c r="F82" s="357">
        <v>10525</v>
      </c>
      <c r="G82" s="357">
        <v>10525</v>
      </c>
      <c r="H82" s="357">
        <v>10885</v>
      </c>
      <c r="I82" s="357">
        <v>10885</v>
      </c>
      <c r="J82" s="357">
        <v>10885.380799999999</v>
      </c>
      <c r="K82" s="357">
        <v>10524.756799999999</v>
      </c>
      <c r="L82" s="357">
        <v>10525</v>
      </c>
      <c r="M82" s="357">
        <v>10885</v>
      </c>
      <c r="N82" s="357">
        <v>10525</v>
      </c>
      <c r="O82" s="357">
        <v>34788</v>
      </c>
      <c r="P82" s="357">
        <v>34788</v>
      </c>
      <c r="Q82" s="357">
        <v>34788</v>
      </c>
      <c r="R82" s="357">
        <v>34788.195200000002</v>
      </c>
      <c r="S82" s="357">
        <v>34788</v>
      </c>
      <c r="T82" s="357">
        <v>34788</v>
      </c>
      <c r="U82" s="357">
        <v>34788</v>
      </c>
      <c r="X82" s="357"/>
      <c r="Y82" s="499"/>
    </row>
    <row r="83" spans="1:25">
      <c r="A83" s="349">
        <v>54</v>
      </c>
      <c r="B83" s="353" t="s">
        <v>73</v>
      </c>
      <c r="C83" s="349" t="s">
        <v>365</v>
      </c>
      <c r="D83" s="357">
        <v>5777</v>
      </c>
      <c r="E83" s="357">
        <v>5502</v>
      </c>
      <c r="F83" s="357">
        <v>5502</v>
      </c>
      <c r="G83" s="357">
        <v>5502</v>
      </c>
      <c r="H83" s="357">
        <v>5777</v>
      </c>
      <c r="I83" s="357">
        <v>5777</v>
      </c>
      <c r="J83" s="357">
        <v>6051.9264000000003</v>
      </c>
      <c r="K83" s="357">
        <v>5502.2479999999996</v>
      </c>
      <c r="L83" s="357">
        <v>5502</v>
      </c>
      <c r="M83" s="357">
        <v>5777</v>
      </c>
      <c r="N83" s="357">
        <v>5502</v>
      </c>
      <c r="O83" s="357">
        <v>6603</v>
      </c>
      <c r="P83" s="357">
        <v>6603</v>
      </c>
      <c r="Q83" s="357">
        <v>6603</v>
      </c>
      <c r="R83" s="357">
        <v>6602.6975999999995</v>
      </c>
      <c r="S83" s="357">
        <v>6603</v>
      </c>
      <c r="T83" s="357">
        <v>6603</v>
      </c>
      <c r="U83" s="357">
        <v>6603</v>
      </c>
      <c r="X83" s="357"/>
      <c r="Y83" s="499"/>
    </row>
    <row r="84" spans="1:25">
      <c r="A84" s="349">
        <v>55</v>
      </c>
      <c r="B84" s="353" t="s">
        <v>74</v>
      </c>
      <c r="C84" s="349" t="s">
        <v>365</v>
      </c>
      <c r="D84" s="357">
        <v>17086</v>
      </c>
      <c r="E84" s="357">
        <v>16273</v>
      </c>
      <c r="F84" s="357">
        <v>16273</v>
      </c>
      <c r="G84" s="357">
        <v>16273</v>
      </c>
      <c r="H84" s="357">
        <v>17086</v>
      </c>
      <c r="I84" s="357">
        <v>17086</v>
      </c>
      <c r="J84" s="357">
        <v>17901.156800000001</v>
      </c>
      <c r="K84" s="357">
        <v>16272.8848</v>
      </c>
      <c r="L84" s="357">
        <v>16273</v>
      </c>
      <c r="M84" s="357">
        <v>17086</v>
      </c>
      <c r="N84" s="357">
        <v>16273</v>
      </c>
      <c r="O84" s="357">
        <v>19528</v>
      </c>
      <c r="P84" s="357">
        <v>19528</v>
      </c>
      <c r="Q84" s="357">
        <v>19528</v>
      </c>
      <c r="R84" s="357">
        <v>19528.335999999999</v>
      </c>
      <c r="S84" s="357">
        <v>19528</v>
      </c>
      <c r="T84" s="357">
        <v>19528</v>
      </c>
      <c r="U84" s="357">
        <v>19528</v>
      </c>
      <c r="X84" s="357"/>
      <c r="Y84" s="499"/>
    </row>
    <row r="85" spans="1:25">
      <c r="A85" s="349">
        <v>56</v>
      </c>
      <c r="B85" s="353" t="s">
        <v>75</v>
      </c>
      <c r="C85" s="349" t="s">
        <v>365</v>
      </c>
      <c r="D85" s="357">
        <v>7886</v>
      </c>
      <c r="E85" s="357">
        <v>7510</v>
      </c>
      <c r="F85" s="357">
        <v>7510</v>
      </c>
      <c r="G85" s="357">
        <v>7510</v>
      </c>
      <c r="H85" s="357">
        <v>7886</v>
      </c>
      <c r="I85" s="357">
        <v>7886</v>
      </c>
      <c r="J85" s="357">
        <v>8225.5056000000004</v>
      </c>
      <c r="K85" s="357">
        <v>7509.7215999999999</v>
      </c>
      <c r="L85" s="357">
        <v>7510</v>
      </c>
      <c r="M85" s="357">
        <v>7886</v>
      </c>
      <c r="N85" s="357">
        <v>7510</v>
      </c>
      <c r="O85" s="357">
        <v>8406</v>
      </c>
      <c r="P85" s="357">
        <v>8406</v>
      </c>
      <c r="Q85" s="357">
        <v>8406</v>
      </c>
      <c r="R85" s="357">
        <v>8405.8176000000003</v>
      </c>
      <c r="S85" s="357">
        <v>8406</v>
      </c>
      <c r="T85" s="357">
        <v>8406</v>
      </c>
      <c r="U85" s="357">
        <v>8406</v>
      </c>
      <c r="X85" s="357"/>
      <c r="Y85" s="499"/>
    </row>
    <row r="86" spans="1:25">
      <c r="A86" s="349">
        <v>57</v>
      </c>
      <c r="B86" s="353" t="s">
        <v>76</v>
      </c>
      <c r="C86" s="349" t="s">
        <v>365</v>
      </c>
      <c r="D86" s="357">
        <v>7170</v>
      </c>
      <c r="E86" s="357">
        <v>7170</v>
      </c>
      <c r="F86" s="357">
        <v>7170</v>
      </c>
      <c r="G86" s="357">
        <v>7170</v>
      </c>
      <c r="H86" s="357">
        <v>7170</v>
      </c>
      <c r="I86" s="357">
        <v>7170</v>
      </c>
      <c r="J86" s="357">
        <v>7169.8608000000004</v>
      </c>
      <c r="K86" s="357">
        <v>7169.8608000000004</v>
      </c>
      <c r="L86" s="357">
        <v>7170</v>
      </c>
      <c r="M86" s="357">
        <v>7170</v>
      </c>
      <c r="N86" s="357">
        <v>7170</v>
      </c>
      <c r="O86" s="357">
        <v>8245</v>
      </c>
      <c r="P86" s="357">
        <v>8245</v>
      </c>
      <c r="Q86" s="357">
        <v>8245</v>
      </c>
      <c r="R86" s="357">
        <v>8245.1759999999995</v>
      </c>
      <c r="S86" s="357">
        <v>8245</v>
      </c>
      <c r="T86" s="357">
        <v>8245</v>
      </c>
      <c r="U86" s="357">
        <v>8245</v>
      </c>
      <c r="X86" s="357"/>
      <c r="Y86" s="499"/>
    </row>
    <row r="87" spans="1:25">
      <c r="A87" s="349">
        <v>58</v>
      </c>
      <c r="B87" s="353" t="s">
        <v>77</v>
      </c>
      <c r="C87" s="349" t="s">
        <v>365</v>
      </c>
      <c r="D87" s="357">
        <v>8251</v>
      </c>
      <c r="E87" s="357">
        <v>7857</v>
      </c>
      <c r="F87" s="357">
        <v>7857</v>
      </c>
      <c r="G87" s="357">
        <v>7857</v>
      </c>
      <c r="H87" s="357">
        <v>8129</v>
      </c>
      <c r="I87" s="357">
        <v>8129</v>
      </c>
      <c r="J87" s="357">
        <v>8642.9552000000003</v>
      </c>
      <c r="K87" s="357">
        <v>7857.232</v>
      </c>
      <c r="L87" s="357">
        <v>7857</v>
      </c>
      <c r="M87" s="357">
        <v>8251</v>
      </c>
      <c r="N87" s="357">
        <v>7857</v>
      </c>
      <c r="O87" s="357">
        <v>9429</v>
      </c>
      <c r="P87" s="357">
        <v>9429</v>
      </c>
      <c r="Q87" s="357">
        <v>9429</v>
      </c>
      <c r="R87" s="357">
        <v>9428.6784000000007</v>
      </c>
      <c r="S87" s="357">
        <v>9429</v>
      </c>
      <c r="T87" s="357">
        <v>9429</v>
      </c>
      <c r="U87" s="357">
        <v>9429</v>
      </c>
      <c r="X87" s="357"/>
      <c r="Y87" s="499"/>
    </row>
    <row r="88" spans="1:25">
      <c r="A88" s="349">
        <v>59</v>
      </c>
      <c r="B88" s="353" t="s">
        <v>78</v>
      </c>
      <c r="C88" s="349" t="s">
        <v>365</v>
      </c>
      <c r="D88" s="357">
        <v>6606</v>
      </c>
      <c r="E88" s="357">
        <v>5218</v>
      </c>
      <c r="F88" s="357">
        <v>4860</v>
      </c>
      <c r="G88" s="357">
        <v>4700</v>
      </c>
      <c r="H88" s="357">
        <v>4700</v>
      </c>
      <c r="I88" s="357">
        <v>6606</v>
      </c>
      <c r="J88" s="357">
        <v>6919.6095999999998</v>
      </c>
      <c r="K88" s="357">
        <v>4978.7968000000001</v>
      </c>
      <c r="L88" s="357">
        <v>5137</v>
      </c>
      <c r="M88" s="357">
        <v>6606</v>
      </c>
      <c r="N88" s="357">
        <v>4700</v>
      </c>
      <c r="O88" s="357">
        <v>5577</v>
      </c>
      <c r="P88" s="357">
        <v>5577</v>
      </c>
      <c r="Q88" s="357">
        <v>5577</v>
      </c>
      <c r="R88" s="357">
        <v>5576.5583999999999</v>
      </c>
      <c r="S88" s="357">
        <v>5577</v>
      </c>
      <c r="T88" s="357">
        <v>5577</v>
      </c>
      <c r="U88" s="357">
        <v>5577</v>
      </c>
      <c r="X88" s="357"/>
      <c r="Y88" s="499"/>
    </row>
    <row r="89" spans="1:25">
      <c r="A89" s="349">
        <v>60</v>
      </c>
      <c r="B89" s="353" t="s">
        <v>79</v>
      </c>
      <c r="C89" s="349" t="s">
        <v>365</v>
      </c>
      <c r="D89" s="357">
        <v>6325</v>
      </c>
      <c r="E89" s="357">
        <v>6024</v>
      </c>
      <c r="F89" s="357">
        <v>6024</v>
      </c>
      <c r="G89" s="357">
        <v>6024</v>
      </c>
      <c r="H89" s="357">
        <v>6325</v>
      </c>
      <c r="I89" s="357">
        <v>6325</v>
      </c>
      <c r="J89" s="357">
        <v>6625.6463999999996</v>
      </c>
      <c r="K89" s="357">
        <v>6023.5136000000002</v>
      </c>
      <c r="L89" s="357">
        <v>6024</v>
      </c>
      <c r="M89" s="357">
        <v>6325</v>
      </c>
      <c r="N89" s="357">
        <v>6024</v>
      </c>
      <c r="O89" s="357">
        <v>7229</v>
      </c>
      <c r="P89" s="357">
        <v>7229</v>
      </c>
      <c r="Q89" s="357">
        <v>7229</v>
      </c>
      <c r="R89" s="357">
        <v>7228.8720000000003</v>
      </c>
      <c r="S89" s="357">
        <v>7229</v>
      </c>
      <c r="T89" s="357">
        <v>7229</v>
      </c>
      <c r="U89" s="357">
        <v>7229</v>
      </c>
      <c r="X89" s="357"/>
      <c r="Y89" s="499"/>
    </row>
    <row r="90" spans="1:25">
      <c r="A90" s="349">
        <v>61</v>
      </c>
      <c r="B90" s="353" t="s">
        <v>80</v>
      </c>
      <c r="C90" s="349" t="s">
        <v>365</v>
      </c>
      <c r="D90" s="357">
        <v>8436</v>
      </c>
      <c r="E90" s="357">
        <v>8035</v>
      </c>
      <c r="F90" s="357">
        <v>8035</v>
      </c>
      <c r="G90" s="357">
        <v>8035</v>
      </c>
      <c r="H90" s="357">
        <v>8291</v>
      </c>
      <c r="I90" s="357">
        <v>8291</v>
      </c>
      <c r="J90" s="357">
        <v>8838.5663999999997</v>
      </c>
      <c r="K90" s="357">
        <v>8035.3584000000001</v>
      </c>
      <c r="L90" s="357">
        <v>8035</v>
      </c>
      <c r="M90" s="357">
        <v>8436</v>
      </c>
      <c r="N90" s="357">
        <v>8035</v>
      </c>
      <c r="O90" s="357">
        <v>9642</v>
      </c>
      <c r="P90" s="357">
        <v>9642</v>
      </c>
      <c r="Q90" s="357">
        <v>9642</v>
      </c>
      <c r="R90" s="357">
        <v>9641.7744000000002</v>
      </c>
      <c r="S90" s="357">
        <v>9642</v>
      </c>
      <c r="T90" s="357">
        <v>9642</v>
      </c>
      <c r="U90" s="357">
        <v>9642</v>
      </c>
      <c r="X90" s="357"/>
      <c r="Y90" s="499"/>
    </row>
    <row r="91" spans="1:25">
      <c r="A91" s="349">
        <v>62</v>
      </c>
      <c r="B91" s="353" t="s">
        <v>81</v>
      </c>
      <c r="C91" s="349" t="s">
        <v>365</v>
      </c>
      <c r="D91" s="357">
        <v>10137</v>
      </c>
      <c r="E91" s="357">
        <v>10137</v>
      </c>
      <c r="F91" s="357">
        <v>10137</v>
      </c>
      <c r="G91" s="357">
        <v>10137</v>
      </c>
      <c r="H91" s="357">
        <v>10137</v>
      </c>
      <c r="I91" s="357">
        <v>10137</v>
      </c>
      <c r="J91" s="357">
        <v>10136.8128</v>
      </c>
      <c r="K91" s="357">
        <v>10136.8128</v>
      </c>
      <c r="L91" s="357">
        <v>10137</v>
      </c>
      <c r="M91" s="357">
        <v>10137</v>
      </c>
      <c r="N91" s="357">
        <v>10137</v>
      </c>
      <c r="O91" s="357">
        <v>11657</v>
      </c>
      <c r="P91" s="357">
        <v>11657</v>
      </c>
      <c r="Q91" s="357">
        <v>11657</v>
      </c>
      <c r="R91" s="357">
        <v>11656.8976</v>
      </c>
      <c r="S91" s="357">
        <v>11657</v>
      </c>
      <c r="T91" s="357">
        <v>11657</v>
      </c>
      <c r="U91" s="357">
        <v>11657</v>
      </c>
      <c r="X91" s="357"/>
      <c r="Y91" s="499"/>
    </row>
    <row r="92" spans="1:25">
      <c r="A92" s="349">
        <v>63</v>
      </c>
      <c r="B92" s="353" t="s">
        <v>82</v>
      </c>
      <c r="C92" s="349" t="s">
        <v>365</v>
      </c>
      <c r="D92" s="357">
        <v>12139</v>
      </c>
      <c r="E92" s="357">
        <v>11561</v>
      </c>
      <c r="F92" s="357">
        <v>11561</v>
      </c>
      <c r="G92" s="357">
        <v>11561</v>
      </c>
      <c r="H92" s="357">
        <v>11873</v>
      </c>
      <c r="I92" s="357">
        <v>11873</v>
      </c>
      <c r="J92" s="357">
        <v>12718.0064</v>
      </c>
      <c r="K92" s="357">
        <v>11560.7312</v>
      </c>
      <c r="L92" s="357">
        <v>11561</v>
      </c>
      <c r="M92" s="357">
        <v>12139</v>
      </c>
      <c r="N92" s="357">
        <v>11561</v>
      </c>
      <c r="O92" s="357">
        <v>13873</v>
      </c>
      <c r="P92" s="357">
        <v>13873</v>
      </c>
      <c r="Q92" s="357">
        <v>13873</v>
      </c>
      <c r="R92" s="357">
        <v>13873.096</v>
      </c>
      <c r="S92" s="357">
        <v>13873</v>
      </c>
      <c r="T92" s="357">
        <v>13873</v>
      </c>
      <c r="U92" s="357">
        <v>13873</v>
      </c>
      <c r="X92" s="357"/>
      <c r="Y92" s="499"/>
    </row>
    <row r="93" spans="1:25">
      <c r="A93" s="349">
        <v>64</v>
      </c>
      <c r="B93" s="353" t="s">
        <v>83</v>
      </c>
      <c r="C93" s="349" t="s">
        <v>365</v>
      </c>
      <c r="D93" s="357">
        <v>1314</v>
      </c>
      <c r="E93" s="357">
        <v>1251</v>
      </c>
      <c r="F93" s="357">
        <v>1251</v>
      </c>
      <c r="G93" s="357">
        <v>1251</v>
      </c>
      <c r="H93" s="357">
        <v>1314</v>
      </c>
      <c r="I93" s="357">
        <v>1314</v>
      </c>
      <c r="J93" s="357">
        <v>1375.8352</v>
      </c>
      <c r="K93" s="357">
        <v>1251.2560000000001</v>
      </c>
      <c r="L93" s="357">
        <v>1251</v>
      </c>
      <c r="M93" s="357">
        <v>1314</v>
      </c>
      <c r="N93" s="357">
        <v>1251</v>
      </c>
      <c r="O93" s="357">
        <v>1502</v>
      </c>
      <c r="P93" s="357">
        <v>1502</v>
      </c>
      <c r="Q93" s="357">
        <v>1502</v>
      </c>
      <c r="R93" s="357">
        <v>1501.5072</v>
      </c>
      <c r="S93" s="357">
        <v>1502</v>
      </c>
      <c r="T93" s="357">
        <v>1502</v>
      </c>
      <c r="U93" s="357">
        <v>1502</v>
      </c>
      <c r="X93" s="357"/>
      <c r="Y93" s="499"/>
    </row>
    <row r="94" spans="1:25">
      <c r="A94" s="349">
        <v>65</v>
      </c>
      <c r="B94" s="353" t="s">
        <v>84</v>
      </c>
      <c r="C94" s="349" t="s">
        <v>365</v>
      </c>
      <c r="D94" s="357">
        <v>1622</v>
      </c>
      <c r="E94" s="357">
        <v>1545</v>
      </c>
      <c r="F94" s="357">
        <v>1545</v>
      </c>
      <c r="G94" s="357">
        <v>1545</v>
      </c>
      <c r="H94" s="357">
        <v>1622</v>
      </c>
      <c r="I94" s="357">
        <v>1622</v>
      </c>
      <c r="J94" s="357">
        <v>1698.2112</v>
      </c>
      <c r="K94" s="357">
        <v>1545.2192</v>
      </c>
      <c r="L94" s="357">
        <v>1545</v>
      </c>
      <c r="M94" s="357">
        <v>1622</v>
      </c>
      <c r="N94" s="357">
        <v>1545</v>
      </c>
      <c r="O94" s="357">
        <v>1853</v>
      </c>
      <c r="P94" s="357">
        <v>1853</v>
      </c>
      <c r="Q94" s="357">
        <v>1853</v>
      </c>
      <c r="R94" s="357">
        <v>1853.3887999999999</v>
      </c>
      <c r="S94" s="357">
        <v>1853</v>
      </c>
      <c r="T94" s="357">
        <v>1853</v>
      </c>
      <c r="U94" s="357">
        <v>1853</v>
      </c>
      <c r="X94" s="357"/>
      <c r="Y94" s="499"/>
    </row>
    <row r="95" spans="1:25">
      <c r="A95" s="349">
        <v>66</v>
      </c>
      <c r="B95" s="353" t="s">
        <v>85</v>
      </c>
      <c r="C95" s="349" t="s">
        <v>365</v>
      </c>
      <c r="D95" s="357">
        <v>1622</v>
      </c>
      <c r="E95" s="357">
        <v>1545</v>
      </c>
      <c r="F95" s="357">
        <v>1545</v>
      </c>
      <c r="G95" s="357">
        <v>1545</v>
      </c>
      <c r="H95" s="357">
        <v>1622</v>
      </c>
      <c r="I95" s="357">
        <v>1622</v>
      </c>
      <c r="J95" s="357">
        <v>1698.2112</v>
      </c>
      <c r="K95" s="357">
        <v>1545.2192</v>
      </c>
      <c r="L95" s="357">
        <v>1545</v>
      </c>
      <c r="M95" s="357">
        <v>1622</v>
      </c>
      <c r="N95" s="357">
        <v>1545</v>
      </c>
      <c r="O95" s="357">
        <v>1853</v>
      </c>
      <c r="P95" s="357">
        <v>1853</v>
      </c>
      <c r="Q95" s="357">
        <v>1853</v>
      </c>
      <c r="R95" s="357">
        <v>1853.3887999999999</v>
      </c>
      <c r="S95" s="357">
        <v>1853</v>
      </c>
      <c r="T95" s="357">
        <v>1853</v>
      </c>
      <c r="U95" s="357">
        <v>1853</v>
      </c>
      <c r="X95" s="357"/>
      <c r="Y95" s="499"/>
    </row>
    <row r="96" spans="1:25">
      <c r="A96" s="349">
        <v>67</v>
      </c>
      <c r="B96" s="353" t="s">
        <v>86</v>
      </c>
      <c r="C96" s="349" t="s">
        <v>365</v>
      </c>
      <c r="D96" s="357">
        <v>1314</v>
      </c>
      <c r="E96" s="357">
        <v>1251</v>
      </c>
      <c r="F96" s="357">
        <v>1251</v>
      </c>
      <c r="G96" s="357">
        <v>1251</v>
      </c>
      <c r="H96" s="357">
        <v>1314</v>
      </c>
      <c r="I96" s="357">
        <v>1314</v>
      </c>
      <c r="J96" s="357">
        <v>1375.8352</v>
      </c>
      <c r="K96" s="357">
        <v>1251.2560000000001</v>
      </c>
      <c r="L96" s="357">
        <v>1251</v>
      </c>
      <c r="M96" s="357">
        <v>1314</v>
      </c>
      <c r="N96" s="357">
        <v>1251</v>
      </c>
      <c r="O96" s="357">
        <v>1502</v>
      </c>
      <c r="P96" s="357">
        <v>1502</v>
      </c>
      <c r="Q96" s="357">
        <v>1502</v>
      </c>
      <c r="R96" s="357">
        <v>1501.5072</v>
      </c>
      <c r="S96" s="357">
        <v>1502</v>
      </c>
      <c r="T96" s="357">
        <v>1502</v>
      </c>
      <c r="U96" s="357">
        <v>1502</v>
      </c>
      <c r="X96" s="357"/>
      <c r="Y96" s="499"/>
    </row>
    <row r="97" spans="1:25">
      <c r="A97" s="349">
        <v>68</v>
      </c>
      <c r="B97" s="353" t="s">
        <v>87</v>
      </c>
      <c r="C97" s="349" t="s">
        <v>365</v>
      </c>
      <c r="D97" s="357">
        <v>1314</v>
      </c>
      <c r="E97" s="357">
        <v>1251</v>
      </c>
      <c r="F97" s="357">
        <v>1251</v>
      </c>
      <c r="G97" s="357">
        <v>1251</v>
      </c>
      <c r="H97" s="357">
        <v>1314</v>
      </c>
      <c r="I97" s="357">
        <v>1314</v>
      </c>
      <c r="J97" s="357">
        <v>1375.8352</v>
      </c>
      <c r="K97" s="357">
        <v>1251.2560000000001</v>
      </c>
      <c r="L97" s="357">
        <v>1251</v>
      </c>
      <c r="M97" s="357">
        <v>1314</v>
      </c>
      <c r="N97" s="357">
        <v>1251</v>
      </c>
      <c r="O97" s="357">
        <v>1502</v>
      </c>
      <c r="P97" s="357">
        <v>1502</v>
      </c>
      <c r="Q97" s="357">
        <v>1502</v>
      </c>
      <c r="R97" s="357">
        <v>1501.5072</v>
      </c>
      <c r="S97" s="357">
        <v>1502</v>
      </c>
      <c r="T97" s="357">
        <v>1502</v>
      </c>
      <c r="U97" s="357">
        <v>1502</v>
      </c>
      <c r="X97" s="357"/>
      <c r="Y97" s="499"/>
    </row>
    <row r="98" spans="1:25">
      <c r="A98" s="349">
        <v>69</v>
      </c>
      <c r="B98" s="353" t="s">
        <v>88</v>
      </c>
      <c r="C98" s="349" t="s">
        <v>365</v>
      </c>
      <c r="D98" s="357">
        <v>1622</v>
      </c>
      <c r="E98" s="357">
        <v>1545</v>
      </c>
      <c r="F98" s="357">
        <v>1545</v>
      </c>
      <c r="G98" s="357">
        <v>1545</v>
      </c>
      <c r="H98" s="357">
        <v>1622</v>
      </c>
      <c r="I98" s="357">
        <v>1622</v>
      </c>
      <c r="J98" s="357">
        <v>1698.2112</v>
      </c>
      <c r="K98" s="357">
        <v>1545.2192</v>
      </c>
      <c r="L98" s="357">
        <v>1545</v>
      </c>
      <c r="M98" s="357">
        <v>1622</v>
      </c>
      <c r="N98" s="357">
        <v>1545</v>
      </c>
      <c r="O98" s="357">
        <v>1853</v>
      </c>
      <c r="P98" s="357">
        <v>1853</v>
      </c>
      <c r="Q98" s="357">
        <v>1853</v>
      </c>
      <c r="R98" s="357">
        <v>1853.3887999999999</v>
      </c>
      <c r="S98" s="357">
        <v>1853</v>
      </c>
      <c r="T98" s="357">
        <v>1853</v>
      </c>
      <c r="U98" s="357">
        <v>1853</v>
      </c>
      <c r="X98" s="357"/>
      <c r="Y98" s="499"/>
    </row>
    <row r="99" spans="1:25">
      <c r="A99" s="349">
        <v>70</v>
      </c>
      <c r="B99" s="353" t="s">
        <v>89</v>
      </c>
      <c r="C99" s="349" t="s">
        <v>365</v>
      </c>
      <c r="D99" s="357">
        <v>1622</v>
      </c>
      <c r="E99" s="357">
        <v>1545</v>
      </c>
      <c r="F99" s="357">
        <v>1545</v>
      </c>
      <c r="G99" s="357">
        <v>1545</v>
      </c>
      <c r="H99" s="357">
        <v>1622</v>
      </c>
      <c r="I99" s="357">
        <v>1622</v>
      </c>
      <c r="J99" s="357">
        <v>1698.2112</v>
      </c>
      <c r="K99" s="357">
        <v>1545.2192</v>
      </c>
      <c r="L99" s="357">
        <v>1545</v>
      </c>
      <c r="M99" s="357">
        <v>1622</v>
      </c>
      <c r="N99" s="357">
        <v>1545</v>
      </c>
      <c r="O99" s="357">
        <v>1853</v>
      </c>
      <c r="P99" s="357">
        <v>1853</v>
      </c>
      <c r="Q99" s="357">
        <v>1853</v>
      </c>
      <c r="R99" s="357">
        <v>1853.3887999999999</v>
      </c>
      <c r="S99" s="357">
        <v>1853</v>
      </c>
      <c r="T99" s="357">
        <v>1853</v>
      </c>
      <c r="U99" s="357">
        <v>1853</v>
      </c>
      <c r="X99" s="357"/>
      <c r="Y99" s="499"/>
    </row>
    <row r="100" spans="1:25">
      <c r="A100" s="349">
        <v>71</v>
      </c>
      <c r="B100" s="353" t="s">
        <v>90</v>
      </c>
      <c r="C100" s="349" t="s">
        <v>365</v>
      </c>
      <c r="D100" s="357">
        <v>3894</v>
      </c>
      <c r="E100" s="357">
        <v>3709</v>
      </c>
      <c r="F100" s="357">
        <v>3709</v>
      </c>
      <c r="G100" s="357">
        <v>3709</v>
      </c>
      <c r="H100" s="357">
        <v>3894</v>
      </c>
      <c r="I100" s="357">
        <v>3894</v>
      </c>
      <c r="J100" s="357">
        <v>4079.4223999999999</v>
      </c>
      <c r="K100" s="357">
        <v>3708.9632000000001</v>
      </c>
      <c r="L100" s="357">
        <v>3709</v>
      </c>
      <c r="M100" s="357">
        <v>3894</v>
      </c>
      <c r="N100" s="357">
        <v>3709</v>
      </c>
      <c r="O100" s="357">
        <v>4450</v>
      </c>
      <c r="P100" s="357">
        <v>4450</v>
      </c>
      <c r="Q100" s="357">
        <v>4450</v>
      </c>
      <c r="R100" s="357">
        <v>4449.8815999999997</v>
      </c>
      <c r="S100" s="357">
        <v>4450</v>
      </c>
      <c r="T100" s="357">
        <v>4450</v>
      </c>
      <c r="U100" s="357">
        <v>4450</v>
      </c>
      <c r="X100" s="357"/>
      <c r="Y100" s="499"/>
    </row>
    <row r="101" spans="1:25">
      <c r="A101" s="349">
        <v>72</v>
      </c>
      <c r="B101" s="353" t="s">
        <v>91</v>
      </c>
      <c r="C101" s="349" t="s">
        <v>365</v>
      </c>
      <c r="D101" s="357">
        <v>1517</v>
      </c>
      <c r="E101" s="357">
        <v>1444</v>
      </c>
      <c r="F101" s="357">
        <v>1444</v>
      </c>
      <c r="G101" s="357">
        <v>1444</v>
      </c>
      <c r="H101" s="357">
        <v>1517</v>
      </c>
      <c r="I101" s="357">
        <v>1517</v>
      </c>
      <c r="J101" s="357">
        <v>1588.9312</v>
      </c>
      <c r="K101" s="357">
        <v>1443.5888</v>
      </c>
      <c r="L101" s="357">
        <v>1444</v>
      </c>
      <c r="M101" s="357">
        <v>1517</v>
      </c>
      <c r="N101" s="357">
        <v>1444</v>
      </c>
      <c r="O101" s="357">
        <v>1733</v>
      </c>
      <c r="P101" s="357">
        <v>1733</v>
      </c>
      <c r="Q101" s="357">
        <v>1733</v>
      </c>
      <c r="R101" s="357">
        <v>1733.1808000000001</v>
      </c>
      <c r="S101" s="357">
        <v>1733</v>
      </c>
      <c r="T101" s="357">
        <v>1733</v>
      </c>
      <c r="U101" s="357">
        <v>1733</v>
      </c>
      <c r="X101" s="357"/>
      <c r="Y101" s="499"/>
    </row>
    <row r="102" spans="1:25">
      <c r="A102" s="349">
        <v>73</v>
      </c>
      <c r="B102" s="353" t="s">
        <v>92</v>
      </c>
      <c r="C102" s="349" t="s">
        <v>365</v>
      </c>
      <c r="D102" s="357">
        <v>1299</v>
      </c>
      <c r="E102" s="357">
        <v>1237</v>
      </c>
      <c r="F102" s="357">
        <v>1237</v>
      </c>
      <c r="G102" s="357">
        <v>1237</v>
      </c>
      <c r="H102" s="357">
        <v>1299</v>
      </c>
      <c r="I102" s="357">
        <v>1299</v>
      </c>
      <c r="J102" s="357">
        <v>1362.7216000000001</v>
      </c>
      <c r="K102" s="357">
        <v>1237.0496000000001</v>
      </c>
      <c r="L102" s="357">
        <v>1237</v>
      </c>
      <c r="M102" s="357">
        <v>1299</v>
      </c>
      <c r="N102" s="357">
        <v>1237</v>
      </c>
      <c r="O102" s="357">
        <v>1486</v>
      </c>
      <c r="P102" s="357">
        <v>1486</v>
      </c>
      <c r="Q102" s="357">
        <v>1486</v>
      </c>
      <c r="R102" s="357">
        <v>1486.2080000000001</v>
      </c>
      <c r="S102" s="357">
        <v>1486</v>
      </c>
      <c r="T102" s="357">
        <v>1486</v>
      </c>
      <c r="U102" s="357">
        <v>1486</v>
      </c>
      <c r="X102" s="357"/>
      <c r="Y102" s="499"/>
    </row>
    <row r="103" spans="1:25">
      <c r="A103" s="349">
        <v>74</v>
      </c>
      <c r="B103" s="353" t="s">
        <v>93</v>
      </c>
      <c r="C103" s="349" t="s">
        <v>365</v>
      </c>
      <c r="D103" s="357">
        <v>927</v>
      </c>
      <c r="E103" s="357">
        <v>927</v>
      </c>
      <c r="F103" s="357">
        <v>927</v>
      </c>
      <c r="G103" s="357">
        <v>927</v>
      </c>
      <c r="H103" s="357">
        <v>927</v>
      </c>
      <c r="I103" s="357">
        <v>927</v>
      </c>
      <c r="J103" s="357">
        <v>926.69439999999997</v>
      </c>
      <c r="K103" s="357">
        <v>926.69439999999997</v>
      </c>
      <c r="L103" s="357">
        <v>927</v>
      </c>
      <c r="M103" s="357">
        <v>927</v>
      </c>
      <c r="N103" s="357">
        <v>927</v>
      </c>
      <c r="O103" s="357">
        <v>1067</v>
      </c>
      <c r="P103" s="357">
        <v>1067</v>
      </c>
      <c r="Q103" s="357">
        <v>1067</v>
      </c>
      <c r="R103" s="357">
        <v>1066.5727999999999</v>
      </c>
      <c r="S103" s="357">
        <v>1067</v>
      </c>
      <c r="T103" s="357">
        <v>1067</v>
      </c>
      <c r="U103" s="357">
        <v>1067</v>
      </c>
      <c r="X103" s="357"/>
      <c r="Y103" s="499"/>
    </row>
    <row r="104" spans="1:25">
      <c r="A104" s="349">
        <v>75</v>
      </c>
      <c r="B104" s="353" t="s">
        <v>94</v>
      </c>
      <c r="C104" s="349" t="s">
        <v>365</v>
      </c>
      <c r="D104" s="357">
        <v>681</v>
      </c>
      <c r="E104" s="357">
        <v>649</v>
      </c>
      <c r="F104" s="357">
        <v>649</v>
      </c>
      <c r="G104" s="357">
        <v>649</v>
      </c>
      <c r="H104" s="357">
        <v>681</v>
      </c>
      <c r="I104" s="357">
        <v>681</v>
      </c>
      <c r="J104" s="357">
        <v>713.59839999999997</v>
      </c>
      <c r="K104" s="357">
        <v>649.1232</v>
      </c>
      <c r="L104" s="357">
        <v>649</v>
      </c>
      <c r="M104" s="357">
        <v>681</v>
      </c>
      <c r="N104" s="357">
        <v>649</v>
      </c>
      <c r="O104" s="357">
        <v>779</v>
      </c>
      <c r="P104" s="357">
        <v>779</v>
      </c>
      <c r="Q104" s="357">
        <v>779</v>
      </c>
      <c r="R104" s="357">
        <v>779.16639999999995</v>
      </c>
      <c r="S104" s="357">
        <v>779</v>
      </c>
      <c r="T104" s="357">
        <v>779</v>
      </c>
      <c r="U104" s="357">
        <v>779</v>
      </c>
      <c r="X104" s="357"/>
      <c r="Y104" s="499"/>
    </row>
    <row r="105" spans="1:25">
      <c r="A105" s="349">
        <v>76</v>
      </c>
      <c r="B105" s="353" t="s">
        <v>95</v>
      </c>
      <c r="C105" s="349" t="s">
        <v>365</v>
      </c>
      <c r="D105" s="357">
        <v>286</v>
      </c>
      <c r="E105" s="357">
        <v>272</v>
      </c>
      <c r="F105" s="357">
        <v>272</v>
      </c>
      <c r="G105" s="357">
        <v>272</v>
      </c>
      <c r="H105" s="357">
        <v>286</v>
      </c>
      <c r="I105" s="357">
        <v>286</v>
      </c>
      <c r="J105" s="357">
        <v>300.52</v>
      </c>
      <c r="K105" s="357">
        <v>272.10719999999998</v>
      </c>
      <c r="L105" s="357">
        <v>272</v>
      </c>
      <c r="M105" s="357">
        <v>286</v>
      </c>
      <c r="N105" s="357">
        <v>272</v>
      </c>
      <c r="O105" s="357">
        <v>328</v>
      </c>
      <c r="P105" s="357">
        <v>328</v>
      </c>
      <c r="Q105" s="357">
        <v>328</v>
      </c>
      <c r="R105" s="357">
        <v>327.84</v>
      </c>
      <c r="S105" s="357">
        <v>328</v>
      </c>
      <c r="T105" s="357">
        <v>328</v>
      </c>
      <c r="U105" s="357">
        <v>328</v>
      </c>
      <c r="X105" s="357"/>
      <c r="Y105" s="499"/>
    </row>
    <row r="106" spans="1:25">
      <c r="A106" s="349">
        <v>77</v>
      </c>
      <c r="B106" s="353" t="s">
        <v>96</v>
      </c>
      <c r="C106" s="349" t="s">
        <v>365</v>
      </c>
      <c r="D106" s="357">
        <v>286</v>
      </c>
      <c r="E106" s="357">
        <v>272</v>
      </c>
      <c r="F106" s="357">
        <v>272</v>
      </c>
      <c r="G106" s="357">
        <v>272</v>
      </c>
      <c r="H106" s="357">
        <v>286</v>
      </c>
      <c r="I106" s="357">
        <v>286</v>
      </c>
      <c r="J106" s="357">
        <v>300.52</v>
      </c>
      <c r="K106" s="357">
        <v>272.10719999999998</v>
      </c>
      <c r="L106" s="357">
        <v>272</v>
      </c>
      <c r="M106" s="357">
        <v>286</v>
      </c>
      <c r="N106" s="357">
        <v>272</v>
      </c>
      <c r="O106" s="357">
        <v>309</v>
      </c>
      <c r="P106" s="357">
        <v>309</v>
      </c>
      <c r="Q106" s="357">
        <v>309</v>
      </c>
      <c r="R106" s="357">
        <v>309.26240000000001</v>
      </c>
      <c r="S106" s="357">
        <v>309</v>
      </c>
      <c r="T106" s="357">
        <v>309</v>
      </c>
      <c r="U106" s="357">
        <v>309</v>
      </c>
      <c r="X106" s="357"/>
      <c r="Y106" s="499"/>
    </row>
    <row r="107" spans="1:25">
      <c r="A107" s="349">
        <v>78</v>
      </c>
      <c r="B107" s="353" t="s">
        <v>97</v>
      </c>
      <c r="C107" s="349" t="s">
        <v>365</v>
      </c>
      <c r="D107" s="357">
        <v>239</v>
      </c>
      <c r="E107" s="357">
        <v>228</v>
      </c>
      <c r="F107" s="357">
        <v>228</v>
      </c>
      <c r="G107" s="357">
        <v>228</v>
      </c>
      <c r="H107" s="357">
        <v>239</v>
      </c>
      <c r="I107" s="357">
        <v>239</v>
      </c>
      <c r="J107" s="357">
        <v>251.34399999999999</v>
      </c>
      <c r="K107" s="357">
        <v>228.39519999999999</v>
      </c>
      <c r="L107" s="357">
        <v>228</v>
      </c>
      <c r="M107" s="357">
        <v>239</v>
      </c>
      <c r="N107" s="357">
        <v>228</v>
      </c>
      <c r="O107" s="357">
        <v>274</v>
      </c>
      <c r="P107" s="357">
        <v>274</v>
      </c>
      <c r="Q107" s="357">
        <v>274</v>
      </c>
      <c r="R107" s="357">
        <v>274.2928</v>
      </c>
      <c r="S107" s="357">
        <v>274</v>
      </c>
      <c r="T107" s="357">
        <v>274</v>
      </c>
      <c r="U107" s="357">
        <v>274</v>
      </c>
      <c r="X107" s="357"/>
      <c r="Y107" s="499"/>
    </row>
    <row r="108" spans="1:25">
      <c r="A108" s="349">
        <v>79</v>
      </c>
      <c r="B108" s="353" t="s">
        <v>98</v>
      </c>
      <c r="C108" s="349" t="s">
        <v>365</v>
      </c>
      <c r="D108" s="357">
        <v>209</v>
      </c>
      <c r="E108" s="357">
        <v>209</v>
      </c>
      <c r="F108" s="357">
        <v>209</v>
      </c>
      <c r="G108" s="357">
        <v>209</v>
      </c>
      <c r="H108" s="357">
        <v>209</v>
      </c>
      <c r="I108" s="357">
        <v>219</v>
      </c>
      <c r="J108" s="357">
        <v>218.56</v>
      </c>
      <c r="K108" s="357">
        <v>208.72479999999999</v>
      </c>
      <c r="L108" s="357">
        <v>219</v>
      </c>
      <c r="M108" s="357">
        <v>223</v>
      </c>
      <c r="N108" s="357">
        <v>209</v>
      </c>
      <c r="O108" s="357">
        <v>223</v>
      </c>
      <c r="P108" s="357">
        <v>223</v>
      </c>
      <c r="Q108" s="357">
        <v>223</v>
      </c>
      <c r="R108" s="357">
        <v>222.93119999999999</v>
      </c>
      <c r="S108" s="357">
        <v>223</v>
      </c>
      <c r="T108" s="357">
        <v>223</v>
      </c>
      <c r="U108" s="357">
        <v>223</v>
      </c>
      <c r="X108" s="357"/>
      <c r="Y108" s="499"/>
    </row>
    <row r="109" spans="1:25">
      <c r="A109" s="349">
        <v>80</v>
      </c>
      <c r="B109" s="353" t="s">
        <v>99</v>
      </c>
      <c r="C109" s="349" t="s">
        <v>365</v>
      </c>
      <c r="D109" s="357">
        <v>245</v>
      </c>
      <c r="E109" s="357">
        <v>234</v>
      </c>
      <c r="F109" s="357">
        <v>234</v>
      </c>
      <c r="G109" s="357">
        <v>234</v>
      </c>
      <c r="H109" s="357">
        <v>245</v>
      </c>
      <c r="I109" s="357">
        <v>245</v>
      </c>
      <c r="J109" s="357">
        <v>256.80799999999999</v>
      </c>
      <c r="K109" s="357">
        <v>233.85919999999999</v>
      </c>
      <c r="L109" s="357">
        <v>234</v>
      </c>
      <c r="M109" s="357">
        <v>245</v>
      </c>
      <c r="N109" s="357">
        <v>234</v>
      </c>
      <c r="O109" s="357">
        <v>281</v>
      </c>
      <c r="P109" s="357">
        <v>281</v>
      </c>
      <c r="Q109" s="357">
        <v>281</v>
      </c>
      <c r="R109" s="357">
        <v>280.84960000000001</v>
      </c>
      <c r="S109" s="357">
        <v>281</v>
      </c>
      <c r="T109" s="357">
        <v>281</v>
      </c>
      <c r="U109" s="357">
        <v>281</v>
      </c>
      <c r="X109" s="357"/>
      <c r="Y109" s="499"/>
    </row>
    <row r="110" spans="1:25">
      <c r="A110" s="349">
        <v>81</v>
      </c>
      <c r="B110" s="353" t="s">
        <v>100</v>
      </c>
      <c r="C110" s="349" t="s">
        <v>365</v>
      </c>
      <c r="D110" s="357">
        <v>245</v>
      </c>
      <c r="E110" s="357">
        <v>234</v>
      </c>
      <c r="F110" s="357">
        <v>234</v>
      </c>
      <c r="G110" s="357">
        <v>234</v>
      </c>
      <c r="H110" s="357">
        <v>245</v>
      </c>
      <c r="I110" s="357">
        <v>245</v>
      </c>
      <c r="J110" s="357">
        <v>256.80799999999999</v>
      </c>
      <c r="K110" s="357">
        <v>233.85919999999999</v>
      </c>
      <c r="L110" s="357">
        <v>234</v>
      </c>
      <c r="M110" s="357">
        <v>245</v>
      </c>
      <c r="N110" s="357">
        <v>234</v>
      </c>
      <c r="O110" s="357">
        <v>281</v>
      </c>
      <c r="P110" s="357">
        <v>281</v>
      </c>
      <c r="Q110" s="357">
        <v>281</v>
      </c>
      <c r="R110" s="357">
        <v>280.84960000000001</v>
      </c>
      <c r="S110" s="357">
        <v>281</v>
      </c>
      <c r="T110" s="357">
        <v>281</v>
      </c>
      <c r="U110" s="357">
        <v>281</v>
      </c>
      <c r="X110" s="357"/>
      <c r="Y110" s="499"/>
    </row>
    <row r="111" spans="1:25">
      <c r="A111" s="349">
        <v>82</v>
      </c>
      <c r="B111" s="353" t="s">
        <v>101</v>
      </c>
      <c r="C111" s="349" t="s">
        <v>365</v>
      </c>
      <c r="D111" s="357">
        <v>2908</v>
      </c>
      <c r="E111" s="357">
        <v>1990</v>
      </c>
      <c r="F111" s="357">
        <v>2164</v>
      </c>
      <c r="G111" s="357">
        <v>1990</v>
      </c>
      <c r="H111" s="357">
        <v>1990</v>
      </c>
      <c r="I111" s="357">
        <v>1990</v>
      </c>
      <c r="J111" s="357">
        <v>2163.7440000000001</v>
      </c>
      <c r="K111" s="357">
        <v>2855.4863999999998</v>
      </c>
      <c r="L111" s="357">
        <v>2164</v>
      </c>
      <c r="M111" s="357">
        <v>2908</v>
      </c>
      <c r="N111" s="357">
        <v>2180</v>
      </c>
      <c r="O111" s="357">
        <v>3427</v>
      </c>
      <c r="P111" s="357">
        <v>3427</v>
      </c>
      <c r="Q111" s="357">
        <v>3427</v>
      </c>
      <c r="R111" s="357">
        <v>3427.0208000000002</v>
      </c>
      <c r="S111" s="357">
        <v>3427</v>
      </c>
      <c r="T111" s="357">
        <v>3427</v>
      </c>
      <c r="U111" s="357">
        <v>3427</v>
      </c>
      <c r="X111" s="357"/>
      <c r="Y111" s="499"/>
    </row>
    <row r="112" spans="1:25">
      <c r="A112" s="349">
        <v>83</v>
      </c>
      <c r="B112" s="353" t="s">
        <v>102</v>
      </c>
      <c r="C112" s="349" t="s">
        <v>365</v>
      </c>
      <c r="D112" s="357">
        <v>2908</v>
      </c>
      <c r="E112" s="357">
        <v>1990</v>
      </c>
      <c r="F112" s="357">
        <v>2164</v>
      </c>
      <c r="G112" s="357">
        <v>1990</v>
      </c>
      <c r="H112" s="357">
        <v>1990</v>
      </c>
      <c r="I112" s="357">
        <v>1990</v>
      </c>
      <c r="J112" s="357">
        <v>2163.7440000000001</v>
      </c>
      <c r="K112" s="357">
        <v>2855.4863999999998</v>
      </c>
      <c r="L112" s="357">
        <v>2164</v>
      </c>
      <c r="M112" s="357">
        <v>2908</v>
      </c>
      <c r="N112" s="357">
        <v>2180</v>
      </c>
      <c r="O112" s="357">
        <v>3427</v>
      </c>
      <c r="P112" s="357">
        <v>3427</v>
      </c>
      <c r="Q112" s="357">
        <v>3427</v>
      </c>
      <c r="R112" s="357">
        <v>3427.0208000000002</v>
      </c>
      <c r="S112" s="357">
        <v>3427</v>
      </c>
      <c r="T112" s="357">
        <v>3427</v>
      </c>
      <c r="U112" s="357">
        <v>3427</v>
      </c>
      <c r="X112" s="357"/>
      <c r="Y112" s="499"/>
    </row>
    <row r="113" spans="1:25">
      <c r="A113" s="349">
        <v>84</v>
      </c>
      <c r="B113" s="353" t="s">
        <v>103</v>
      </c>
      <c r="C113" s="349" t="s">
        <v>365</v>
      </c>
      <c r="D113" s="357">
        <v>3489</v>
      </c>
      <c r="E113" s="357">
        <v>2388</v>
      </c>
      <c r="F113" s="357">
        <v>2596</v>
      </c>
      <c r="G113" s="357">
        <v>2388</v>
      </c>
      <c r="H113" s="357">
        <v>2388</v>
      </c>
      <c r="I113" s="357">
        <v>2388</v>
      </c>
      <c r="J113" s="357">
        <v>2596.4928</v>
      </c>
      <c r="K113" s="357">
        <v>3489.3103999999998</v>
      </c>
      <c r="L113" s="357">
        <v>2596</v>
      </c>
      <c r="M113" s="357">
        <v>3489</v>
      </c>
      <c r="N113" s="357">
        <v>2617</v>
      </c>
      <c r="O113" s="357">
        <v>4308</v>
      </c>
      <c r="P113" s="357">
        <v>4308</v>
      </c>
      <c r="Q113" s="357">
        <v>4308</v>
      </c>
      <c r="R113" s="357">
        <v>4307.8176000000003</v>
      </c>
      <c r="S113" s="357">
        <v>4308</v>
      </c>
      <c r="T113" s="357">
        <v>4308</v>
      </c>
      <c r="U113" s="357">
        <v>4308</v>
      </c>
      <c r="X113" s="357"/>
      <c r="Y113" s="499"/>
    </row>
    <row r="114" spans="1:25">
      <c r="A114" s="349">
        <v>85</v>
      </c>
      <c r="B114" s="353" t="s">
        <v>104</v>
      </c>
      <c r="C114" s="349" t="s">
        <v>365</v>
      </c>
      <c r="D114" s="357">
        <v>3489</v>
      </c>
      <c r="E114" s="357">
        <v>2388</v>
      </c>
      <c r="F114" s="357">
        <v>2596</v>
      </c>
      <c r="G114" s="357">
        <v>2388</v>
      </c>
      <c r="H114" s="357">
        <v>2388</v>
      </c>
      <c r="I114" s="357">
        <v>2388</v>
      </c>
      <c r="J114" s="357">
        <v>2596.4928</v>
      </c>
      <c r="K114" s="357">
        <v>3489.3103999999998</v>
      </c>
      <c r="L114" s="357">
        <v>2596</v>
      </c>
      <c r="M114" s="357">
        <v>3489</v>
      </c>
      <c r="N114" s="357">
        <v>2617</v>
      </c>
      <c r="O114" s="357">
        <v>4271</v>
      </c>
      <c r="P114" s="357">
        <v>4271</v>
      </c>
      <c r="Q114" s="357">
        <v>4271</v>
      </c>
      <c r="R114" s="357">
        <v>4270.6624000000002</v>
      </c>
      <c r="S114" s="357">
        <v>4271</v>
      </c>
      <c r="T114" s="357">
        <v>4271</v>
      </c>
      <c r="U114" s="357">
        <v>4271</v>
      </c>
      <c r="X114" s="357"/>
      <c r="Y114" s="499"/>
    </row>
    <row r="115" spans="1:25">
      <c r="A115" s="349">
        <v>86</v>
      </c>
      <c r="B115" s="353" t="s">
        <v>105</v>
      </c>
      <c r="C115" s="349" t="s">
        <v>365</v>
      </c>
      <c r="D115" s="357">
        <v>4573</v>
      </c>
      <c r="E115" s="357">
        <v>4278</v>
      </c>
      <c r="F115" s="357">
        <v>4573</v>
      </c>
      <c r="G115" s="357">
        <v>4278</v>
      </c>
      <c r="H115" s="357">
        <v>4278</v>
      </c>
      <c r="I115" s="357">
        <v>4278</v>
      </c>
      <c r="J115" s="357">
        <v>4573.3680000000004</v>
      </c>
      <c r="K115" s="357">
        <v>4573.3680000000004</v>
      </c>
      <c r="L115" s="357">
        <v>4573</v>
      </c>
      <c r="M115" s="357">
        <v>4573</v>
      </c>
      <c r="N115" s="357">
        <v>4573</v>
      </c>
      <c r="O115" s="357">
        <v>5260</v>
      </c>
      <c r="P115" s="357">
        <v>5260</v>
      </c>
      <c r="Q115" s="357">
        <v>5260</v>
      </c>
      <c r="R115" s="357">
        <v>5259.6463999999996</v>
      </c>
      <c r="S115" s="357">
        <v>5260</v>
      </c>
      <c r="T115" s="357">
        <v>5260</v>
      </c>
      <c r="U115" s="357">
        <v>5260</v>
      </c>
      <c r="X115" s="357"/>
      <c r="Y115" s="499"/>
    </row>
    <row r="116" spans="1:25">
      <c r="A116" s="349">
        <v>87</v>
      </c>
      <c r="B116" s="353" t="s">
        <v>106</v>
      </c>
      <c r="C116" s="349" t="s">
        <v>365</v>
      </c>
      <c r="D116" s="357">
        <v>1112</v>
      </c>
      <c r="E116" s="357">
        <v>1112</v>
      </c>
      <c r="F116" s="357">
        <v>1112</v>
      </c>
      <c r="G116" s="357">
        <v>1112</v>
      </c>
      <c r="H116" s="357">
        <v>1112</v>
      </c>
      <c r="I116" s="357">
        <v>1112</v>
      </c>
      <c r="J116" s="357">
        <v>1112.4703999999999</v>
      </c>
      <c r="K116" s="357">
        <v>1112.4703999999999</v>
      </c>
      <c r="L116" s="357">
        <v>1112</v>
      </c>
      <c r="M116" s="357">
        <v>1112</v>
      </c>
      <c r="N116" s="357">
        <v>3337</v>
      </c>
      <c r="O116" s="357">
        <v>3838</v>
      </c>
      <c r="P116" s="357">
        <v>3838</v>
      </c>
      <c r="Q116" s="357">
        <v>3838</v>
      </c>
      <c r="R116" s="357">
        <v>3837.9135999999999</v>
      </c>
      <c r="S116" s="357">
        <v>3838</v>
      </c>
      <c r="T116" s="357">
        <v>3838</v>
      </c>
      <c r="U116" s="357">
        <v>3838</v>
      </c>
      <c r="X116" s="357"/>
      <c r="Y116" s="499"/>
    </row>
    <row r="117" spans="1:25">
      <c r="A117" s="349">
        <v>88</v>
      </c>
      <c r="B117" s="353" t="s">
        <v>107</v>
      </c>
      <c r="C117" s="349" t="s">
        <v>365</v>
      </c>
      <c r="D117" s="357">
        <v>1893</v>
      </c>
      <c r="E117" s="357">
        <v>1514</v>
      </c>
      <c r="F117" s="357">
        <v>1644</v>
      </c>
      <c r="G117" s="357">
        <v>1514</v>
      </c>
      <c r="H117" s="357">
        <v>1514</v>
      </c>
      <c r="I117" s="357">
        <v>1514</v>
      </c>
      <c r="J117" s="357">
        <v>1643.5711999999999</v>
      </c>
      <c r="K117" s="357">
        <v>1802.0272</v>
      </c>
      <c r="L117" s="357">
        <v>1644</v>
      </c>
      <c r="M117" s="357">
        <v>1893</v>
      </c>
      <c r="N117" s="357">
        <v>1658</v>
      </c>
      <c r="O117" s="357">
        <v>2164</v>
      </c>
      <c r="P117" s="357">
        <v>2164</v>
      </c>
      <c r="Q117" s="357">
        <v>2164</v>
      </c>
      <c r="R117" s="357">
        <v>2163.7440000000001</v>
      </c>
      <c r="S117" s="357">
        <v>2164</v>
      </c>
      <c r="T117" s="357">
        <v>2164</v>
      </c>
      <c r="U117" s="357">
        <v>2164</v>
      </c>
      <c r="X117" s="357"/>
      <c r="Y117" s="499"/>
    </row>
    <row r="118" spans="1:25">
      <c r="A118" s="349">
        <v>89</v>
      </c>
      <c r="B118" s="353" t="s">
        <v>108</v>
      </c>
      <c r="C118" s="349" t="s">
        <v>365</v>
      </c>
      <c r="D118" s="357">
        <v>1770</v>
      </c>
      <c r="E118" s="357">
        <v>1400</v>
      </c>
      <c r="F118" s="357">
        <v>1520</v>
      </c>
      <c r="G118" s="357">
        <v>1400</v>
      </c>
      <c r="H118" s="357">
        <v>1400</v>
      </c>
      <c r="I118" s="357">
        <v>1400</v>
      </c>
      <c r="J118" s="357">
        <v>1520.0848000000001</v>
      </c>
      <c r="K118" s="357">
        <v>1770.336</v>
      </c>
      <c r="L118" s="357">
        <v>1520</v>
      </c>
      <c r="M118" s="357">
        <v>2044</v>
      </c>
      <c r="N118" s="357">
        <v>1533</v>
      </c>
      <c r="O118" s="357">
        <v>2011</v>
      </c>
      <c r="P118" s="357">
        <v>2011</v>
      </c>
      <c r="Q118" s="357">
        <v>2011</v>
      </c>
      <c r="R118" s="357">
        <v>2010.752</v>
      </c>
      <c r="S118" s="357">
        <v>2011</v>
      </c>
      <c r="T118" s="357">
        <v>2011</v>
      </c>
      <c r="U118" s="357">
        <v>2011</v>
      </c>
      <c r="X118" s="357"/>
      <c r="Y118" s="499"/>
    </row>
    <row r="119" spans="1:25">
      <c r="A119" s="349">
        <v>90</v>
      </c>
      <c r="B119" s="353" t="s">
        <v>109</v>
      </c>
      <c r="C119" s="349" t="s">
        <v>365</v>
      </c>
      <c r="D119" s="357">
        <v>3129</v>
      </c>
      <c r="E119" s="357">
        <v>2980</v>
      </c>
      <c r="F119" s="357">
        <v>2980</v>
      </c>
      <c r="G119" s="357">
        <v>2980</v>
      </c>
      <c r="H119" s="357">
        <v>3025</v>
      </c>
      <c r="I119" s="357">
        <v>3025</v>
      </c>
      <c r="J119" s="357">
        <v>3278.4</v>
      </c>
      <c r="K119" s="357">
        <v>2980.0655999999999</v>
      </c>
      <c r="L119" s="357">
        <v>2980</v>
      </c>
      <c r="M119" s="357">
        <v>3129</v>
      </c>
      <c r="N119" s="357">
        <v>2980</v>
      </c>
      <c r="O119" s="357">
        <v>3577</v>
      </c>
      <c r="P119" s="357">
        <v>3577</v>
      </c>
      <c r="Q119" s="357">
        <v>3577</v>
      </c>
      <c r="R119" s="357">
        <v>3576.7343999999998</v>
      </c>
      <c r="S119" s="357">
        <v>3577</v>
      </c>
      <c r="T119" s="357">
        <v>3577</v>
      </c>
      <c r="U119" s="357">
        <v>3577</v>
      </c>
      <c r="X119" s="357"/>
      <c r="Y119" s="499"/>
    </row>
    <row r="120" spans="1:25">
      <c r="A120" s="349">
        <v>91</v>
      </c>
      <c r="B120" s="353" t="s">
        <v>110</v>
      </c>
      <c r="C120" s="349" t="s">
        <v>365</v>
      </c>
      <c r="D120" s="357">
        <v>4419</v>
      </c>
      <c r="E120" s="357">
        <v>3025</v>
      </c>
      <c r="F120" s="357">
        <v>3288</v>
      </c>
      <c r="G120" s="357">
        <v>3025</v>
      </c>
      <c r="H120" s="357">
        <v>3025</v>
      </c>
      <c r="I120" s="357">
        <v>3025</v>
      </c>
      <c r="J120" s="357">
        <v>3288.2352000000001</v>
      </c>
      <c r="K120" s="357">
        <v>4419.2831999999999</v>
      </c>
      <c r="L120" s="357">
        <v>3288</v>
      </c>
      <c r="M120" s="357">
        <v>4419</v>
      </c>
      <c r="N120" s="357">
        <v>3314</v>
      </c>
      <c r="O120" s="357">
        <v>5524</v>
      </c>
      <c r="P120" s="357">
        <v>5524</v>
      </c>
      <c r="Q120" s="357">
        <v>5524</v>
      </c>
      <c r="R120" s="357">
        <v>5524.1040000000003</v>
      </c>
      <c r="S120" s="357">
        <v>5524</v>
      </c>
      <c r="T120" s="357">
        <v>5524</v>
      </c>
      <c r="U120" s="357">
        <v>5524</v>
      </c>
      <c r="X120" s="357"/>
      <c r="Y120" s="499"/>
    </row>
    <row r="121" spans="1:25">
      <c r="A121" s="349">
        <v>92</v>
      </c>
      <c r="B121" s="353" t="s">
        <v>111</v>
      </c>
      <c r="C121" s="349" t="s">
        <v>365</v>
      </c>
      <c r="D121" s="357">
        <v>4823</v>
      </c>
      <c r="E121" s="357">
        <v>4003</v>
      </c>
      <c r="F121" s="357">
        <v>4352</v>
      </c>
      <c r="G121" s="357">
        <v>4003</v>
      </c>
      <c r="H121" s="357">
        <v>4003</v>
      </c>
      <c r="I121" s="357">
        <v>4003</v>
      </c>
      <c r="J121" s="357">
        <v>4351.5295999999998</v>
      </c>
      <c r="K121" s="357">
        <v>4822.5263999999997</v>
      </c>
      <c r="L121" s="357">
        <v>4352</v>
      </c>
      <c r="M121" s="357">
        <v>5264</v>
      </c>
      <c r="N121" s="357">
        <v>4387</v>
      </c>
      <c r="O121" s="357">
        <v>5306</v>
      </c>
      <c r="P121" s="357">
        <v>5306</v>
      </c>
      <c r="Q121" s="357">
        <v>5306</v>
      </c>
      <c r="R121" s="357">
        <v>5305.5439999999999</v>
      </c>
      <c r="S121" s="357">
        <v>5306</v>
      </c>
      <c r="T121" s="357">
        <v>5306</v>
      </c>
      <c r="U121" s="357">
        <v>5306</v>
      </c>
      <c r="X121" s="357"/>
      <c r="Y121" s="499"/>
    </row>
    <row r="122" spans="1:25">
      <c r="A122" s="349">
        <v>93</v>
      </c>
      <c r="B122" s="353" t="s">
        <v>112</v>
      </c>
      <c r="C122" s="349" t="s">
        <v>365</v>
      </c>
      <c r="D122" s="357">
        <v>5750</v>
      </c>
      <c r="E122" s="357">
        <v>5414</v>
      </c>
      <c r="F122" s="357">
        <v>5750</v>
      </c>
      <c r="G122" s="357">
        <v>5414</v>
      </c>
      <c r="H122" s="357">
        <v>5414</v>
      </c>
      <c r="I122" s="357">
        <v>5414</v>
      </c>
      <c r="J122" s="357">
        <v>5884.7280000000001</v>
      </c>
      <c r="K122" s="357">
        <v>5750.3135999999995</v>
      </c>
      <c r="L122" s="357">
        <v>5842</v>
      </c>
      <c r="M122" s="357">
        <v>6134</v>
      </c>
      <c r="N122" s="357">
        <v>5750</v>
      </c>
      <c r="O122" s="357">
        <v>6535</v>
      </c>
      <c r="P122" s="357">
        <v>6535</v>
      </c>
      <c r="Q122" s="357">
        <v>6535</v>
      </c>
      <c r="R122" s="357">
        <v>6534.9439999999995</v>
      </c>
      <c r="S122" s="357">
        <v>6535</v>
      </c>
      <c r="T122" s="357">
        <v>6535</v>
      </c>
      <c r="U122" s="357">
        <v>6535</v>
      </c>
      <c r="X122" s="357"/>
      <c r="Y122" s="499"/>
    </row>
    <row r="123" spans="1:25">
      <c r="A123" s="349">
        <v>94</v>
      </c>
      <c r="B123" s="353" t="s">
        <v>113</v>
      </c>
      <c r="C123" s="349" t="s">
        <v>365</v>
      </c>
      <c r="D123" s="357">
        <v>6229</v>
      </c>
      <c r="E123" s="357">
        <v>5933</v>
      </c>
      <c r="F123" s="357">
        <v>5933</v>
      </c>
      <c r="G123" s="357">
        <v>5933</v>
      </c>
      <c r="H123" s="357">
        <v>6062</v>
      </c>
      <c r="I123" s="357">
        <v>6062</v>
      </c>
      <c r="J123" s="357">
        <v>6526.2016000000003</v>
      </c>
      <c r="K123" s="357">
        <v>5932.8112000000001</v>
      </c>
      <c r="L123" s="357">
        <v>5933</v>
      </c>
      <c r="M123" s="357">
        <v>6229</v>
      </c>
      <c r="N123" s="357">
        <v>5933</v>
      </c>
      <c r="O123" s="357">
        <v>7120</v>
      </c>
      <c r="P123" s="357">
        <v>7120</v>
      </c>
      <c r="Q123" s="357">
        <v>7120</v>
      </c>
      <c r="R123" s="357">
        <v>7119.5919999999996</v>
      </c>
      <c r="S123" s="357">
        <v>7120</v>
      </c>
      <c r="T123" s="357">
        <v>7120</v>
      </c>
      <c r="U123" s="357">
        <v>7120</v>
      </c>
      <c r="X123" s="357"/>
      <c r="Y123" s="499"/>
    </row>
    <row r="124" spans="1:25">
      <c r="A124" s="349">
        <v>95</v>
      </c>
      <c r="B124" s="353" t="s">
        <v>114</v>
      </c>
      <c r="C124" s="349" t="s">
        <v>365</v>
      </c>
      <c r="D124" s="357">
        <v>4573</v>
      </c>
      <c r="E124" s="357">
        <v>4573</v>
      </c>
      <c r="F124" s="357">
        <v>4573</v>
      </c>
      <c r="G124" s="357">
        <v>4573</v>
      </c>
      <c r="H124" s="357">
        <v>4573</v>
      </c>
      <c r="I124" s="357">
        <v>4573</v>
      </c>
      <c r="J124" s="357">
        <v>4573.3680000000004</v>
      </c>
      <c r="K124" s="357">
        <v>4573.3680000000004</v>
      </c>
      <c r="L124" s="357">
        <v>4573</v>
      </c>
      <c r="M124" s="357">
        <v>4573</v>
      </c>
      <c r="N124" s="357">
        <v>4573</v>
      </c>
      <c r="O124" s="357">
        <v>5260</v>
      </c>
      <c r="P124" s="357">
        <v>5260</v>
      </c>
      <c r="Q124" s="357">
        <v>5260</v>
      </c>
      <c r="R124" s="357">
        <v>5259.6463999999996</v>
      </c>
      <c r="S124" s="357">
        <v>5260</v>
      </c>
      <c r="T124" s="357">
        <v>5260</v>
      </c>
      <c r="U124" s="357">
        <v>5260</v>
      </c>
      <c r="X124" s="357"/>
      <c r="Y124" s="499"/>
    </row>
    <row r="125" spans="1:25">
      <c r="A125" s="349">
        <v>96</v>
      </c>
      <c r="B125" s="353" t="s">
        <v>115</v>
      </c>
      <c r="C125" s="349" t="s">
        <v>365</v>
      </c>
      <c r="D125" s="357">
        <v>3337</v>
      </c>
      <c r="E125" s="357">
        <v>3337</v>
      </c>
      <c r="F125" s="357">
        <v>3337</v>
      </c>
      <c r="G125" s="357">
        <v>3337</v>
      </c>
      <c r="H125" s="357">
        <v>3337</v>
      </c>
      <c r="I125" s="357">
        <v>3337</v>
      </c>
      <c r="J125" s="357">
        <v>3337.4112</v>
      </c>
      <c r="K125" s="357">
        <v>3337.4112</v>
      </c>
      <c r="L125" s="357">
        <v>3337</v>
      </c>
      <c r="M125" s="357">
        <v>3337</v>
      </c>
      <c r="N125" s="357">
        <v>3337</v>
      </c>
      <c r="O125" s="357">
        <v>3838</v>
      </c>
      <c r="P125" s="357">
        <v>3838</v>
      </c>
      <c r="Q125" s="357">
        <v>3838</v>
      </c>
      <c r="R125" s="357">
        <v>3837.9135999999999</v>
      </c>
      <c r="S125" s="357">
        <v>3838</v>
      </c>
      <c r="T125" s="357">
        <v>3838</v>
      </c>
      <c r="U125" s="357">
        <v>3838</v>
      </c>
      <c r="X125" s="357"/>
      <c r="Y125" s="499"/>
    </row>
    <row r="126" spans="1:25">
      <c r="A126" s="349">
        <v>97</v>
      </c>
      <c r="B126" s="353" t="s">
        <v>116</v>
      </c>
      <c r="C126" s="349" t="s">
        <v>365</v>
      </c>
      <c r="D126" s="357">
        <v>1893</v>
      </c>
      <c r="E126" s="357">
        <v>1514</v>
      </c>
      <c r="F126" s="357">
        <v>1644</v>
      </c>
      <c r="G126" s="357">
        <v>1514</v>
      </c>
      <c r="H126" s="357">
        <v>1514</v>
      </c>
      <c r="I126" s="357">
        <v>1514</v>
      </c>
      <c r="J126" s="357">
        <v>1643.5711999999999</v>
      </c>
      <c r="K126" s="357">
        <v>1802.0272</v>
      </c>
      <c r="L126" s="357">
        <v>1644</v>
      </c>
      <c r="M126" s="357">
        <v>1893</v>
      </c>
      <c r="N126" s="357">
        <v>1658</v>
      </c>
      <c r="O126" s="357">
        <v>2164</v>
      </c>
      <c r="P126" s="357">
        <v>2164</v>
      </c>
      <c r="Q126" s="357">
        <v>2164</v>
      </c>
      <c r="R126" s="357">
        <v>2163.7440000000001</v>
      </c>
      <c r="S126" s="357">
        <v>2164</v>
      </c>
      <c r="T126" s="357">
        <v>2164</v>
      </c>
      <c r="U126" s="357">
        <v>2164</v>
      </c>
      <c r="X126" s="357"/>
      <c r="Y126" s="499"/>
    </row>
    <row r="127" spans="1:25">
      <c r="A127" s="349">
        <v>98</v>
      </c>
      <c r="B127" s="353" t="s">
        <v>117</v>
      </c>
      <c r="C127" s="349" t="s">
        <v>365</v>
      </c>
      <c r="D127" s="357">
        <v>3871</v>
      </c>
      <c r="E127" s="357">
        <v>2650</v>
      </c>
      <c r="F127" s="357">
        <v>2881</v>
      </c>
      <c r="G127" s="357">
        <v>2650</v>
      </c>
      <c r="H127" s="357">
        <v>2650</v>
      </c>
      <c r="I127" s="357">
        <v>2650</v>
      </c>
      <c r="J127" s="357">
        <v>2880.6208000000001</v>
      </c>
      <c r="K127" s="357">
        <v>3870.6976</v>
      </c>
      <c r="L127" s="357">
        <v>2881</v>
      </c>
      <c r="M127" s="357">
        <v>3871</v>
      </c>
      <c r="N127" s="357">
        <v>2904</v>
      </c>
      <c r="O127" s="357">
        <v>4747</v>
      </c>
      <c r="P127" s="357">
        <v>4747</v>
      </c>
      <c r="Q127" s="357">
        <v>4747</v>
      </c>
      <c r="R127" s="357">
        <v>4747.1232</v>
      </c>
      <c r="S127" s="357">
        <v>4747</v>
      </c>
      <c r="T127" s="357">
        <v>4747</v>
      </c>
      <c r="U127" s="357">
        <v>4747</v>
      </c>
      <c r="X127" s="357"/>
      <c r="Y127" s="499"/>
    </row>
    <row r="128" spans="1:25">
      <c r="A128" s="349">
        <v>99</v>
      </c>
      <c r="B128" s="353" t="s">
        <v>118</v>
      </c>
      <c r="C128" s="349" t="s">
        <v>365</v>
      </c>
      <c r="D128" s="357">
        <v>15163</v>
      </c>
      <c r="E128" s="357">
        <v>12021</v>
      </c>
      <c r="F128" s="357">
        <v>13067</v>
      </c>
      <c r="G128" s="357">
        <v>12021</v>
      </c>
      <c r="H128" s="357">
        <v>12021</v>
      </c>
      <c r="I128" s="357">
        <v>12021</v>
      </c>
      <c r="J128" s="357">
        <v>13066.6096</v>
      </c>
      <c r="K128" s="357">
        <v>15162.6</v>
      </c>
      <c r="L128" s="357">
        <v>13067</v>
      </c>
      <c r="M128" s="357">
        <v>15684</v>
      </c>
      <c r="N128" s="357">
        <v>13170</v>
      </c>
      <c r="O128" s="357">
        <v>17188</v>
      </c>
      <c r="P128" s="357">
        <v>17307</v>
      </c>
      <c r="Q128" s="357">
        <v>17307</v>
      </c>
      <c r="R128" s="357">
        <v>17306.673599999998</v>
      </c>
      <c r="S128" s="357">
        <v>17307</v>
      </c>
      <c r="T128" s="357">
        <v>17307</v>
      </c>
      <c r="U128" s="357">
        <v>17307</v>
      </c>
      <c r="X128" s="357"/>
      <c r="Y128" s="499"/>
    </row>
    <row r="129" spans="1:25">
      <c r="A129" s="349">
        <v>100</v>
      </c>
      <c r="B129" s="353" t="s">
        <v>119</v>
      </c>
      <c r="C129" s="349" t="s">
        <v>365</v>
      </c>
      <c r="D129" s="357">
        <v>15771</v>
      </c>
      <c r="E129" s="357">
        <v>12021</v>
      </c>
      <c r="F129" s="357">
        <v>13067</v>
      </c>
      <c r="G129" s="357">
        <v>12021</v>
      </c>
      <c r="H129" s="357">
        <v>12021</v>
      </c>
      <c r="I129" s="357">
        <v>12021</v>
      </c>
      <c r="J129" s="357">
        <v>13066.6096</v>
      </c>
      <c r="K129" s="357">
        <v>15451.099200000001</v>
      </c>
      <c r="L129" s="357">
        <v>13067</v>
      </c>
      <c r="M129" s="357">
        <v>16224</v>
      </c>
      <c r="N129" s="357">
        <v>13170</v>
      </c>
      <c r="O129" s="357">
        <v>17307</v>
      </c>
      <c r="P129" s="357">
        <v>17307</v>
      </c>
      <c r="Q129" s="357">
        <v>17307</v>
      </c>
      <c r="R129" s="357">
        <v>17306.673599999998</v>
      </c>
      <c r="S129" s="357">
        <v>17307</v>
      </c>
      <c r="T129" s="357">
        <v>17307</v>
      </c>
      <c r="U129" s="357">
        <v>17307</v>
      </c>
      <c r="X129" s="357"/>
      <c r="Y129" s="499"/>
    </row>
    <row r="130" spans="1:25">
      <c r="A130" s="349">
        <v>101</v>
      </c>
      <c r="B130" s="353" t="s">
        <v>120</v>
      </c>
      <c r="C130" s="349" t="s">
        <v>365</v>
      </c>
      <c r="D130" s="357">
        <v>16997</v>
      </c>
      <c r="E130" s="357">
        <v>16189</v>
      </c>
      <c r="F130" s="357">
        <v>16189</v>
      </c>
      <c r="G130" s="357">
        <v>16189</v>
      </c>
      <c r="H130" s="357">
        <v>16997</v>
      </c>
      <c r="I130" s="357">
        <v>16997</v>
      </c>
      <c r="J130" s="357">
        <v>17807.175999999999</v>
      </c>
      <c r="K130" s="357">
        <v>16188.7392</v>
      </c>
      <c r="L130" s="357">
        <v>16189</v>
      </c>
      <c r="M130" s="357">
        <v>16997</v>
      </c>
      <c r="N130" s="357">
        <v>16189</v>
      </c>
      <c r="O130" s="357">
        <v>19427</v>
      </c>
      <c r="P130" s="357">
        <v>19427</v>
      </c>
      <c r="Q130" s="357">
        <v>19427</v>
      </c>
      <c r="R130" s="357">
        <v>19426.705600000001</v>
      </c>
      <c r="S130" s="357">
        <v>19427</v>
      </c>
      <c r="T130" s="357">
        <v>19427</v>
      </c>
      <c r="U130" s="357">
        <v>19427</v>
      </c>
      <c r="X130" s="357"/>
      <c r="Y130" s="499"/>
    </row>
    <row r="131" spans="1:25">
      <c r="A131" s="349">
        <v>102</v>
      </c>
      <c r="B131" s="353" t="s">
        <v>121</v>
      </c>
      <c r="C131" s="349" t="s">
        <v>365</v>
      </c>
      <c r="D131" s="357">
        <v>16997</v>
      </c>
      <c r="E131" s="357">
        <v>16189</v>
      </c>
      <c r="F131" s="357">
        <v>16189</v>
      </c>
      <c r="G131" s="357">
        <v>16189</v>
      </c>
      <c r="H131" s="357">
        <v>16997</v>
      </c>
      <c r="I131" s="357">
        <v>16997</v>
      </c>
      <c r="J131" s="357">
        <v>17807.175999999999</v>
      </c>
      <c r="K131" s="357">
        <v>16188.7392</v>
      </c>
      <c r="L131" s="357">
        <v>16189</v>
      </c>
      <c r="M131" s="357">
        <v>16997</v>
      </c>
      <c r="N131" s="357">
        <v>16189</v>
      </c>
      <c r="O131" s="357">
        <v>19427</v>
      </c>
      <c r="P131" s="357">
        <v>19427</v>
      </c>
      <c r="Q131" s="357">
        <v>19427</v>
      </c>
      <c r="R131" s="357">
        <v>19426.705600000001</v>
      </c>
      <c r="S131" s="357">
        <v>19427</v>
      </c>
      <c r="T131" s="357">
        <v>19427</v>
      </c>
      <c r="U131" s="357">
        <v>19427</v>
      </c>
      <c r="X131" s="357"/>
      <c r="Y131" s="499"/>
    </row>
    <row r="132" spans="1:25">
      <c r="A132" s="349">
        <v>103</v>
      </c>
      <c r="B132" s="353" t="s">
        <v>122</v>
      </c>
      <c r="C132" s="349" t="s">
        <v>365</v>
      </c>
      <c r="D132" s="357">
        <v>13141</v>
      </c>
      <c r="E132" s="357">
        <v>12021</v>
      </c>
      <c r="F132" s="357">
        <v>12515</v>
      </c>
      <c r="G132" s="357">
        <v>12021</v>
      </c>
      <c r="H132" s="357">
        <v>12021</v>
      </c>
      <c r="I132" s="357">
        <v>12021</v>
      </c>
      <c r="J132" s="357">
        <v>13066.6096</v>
      </c>
      <c r="K132" s="357">
        <v>12514.7456</v>
      </c>
      <c r="L132" s="357">
        <v>12515</v>
      </c>
      <c r="M132" s="357">
        <v>13141</v>
      </c>
      <c r="N132" s="357">
        <v>12515</v>
      </c>
      <c r="O132" s="357">
        <v>15018</v>
      </c>
      <c r="P132" s="357">
        <v>15018</v>
      </c>
      <c r="Q132" s="357">
        <v>15018</v>
      </c>
      <c r="R132" s="357">
        <v>15018.350399999999</v>
      </c>
      <c r="S132" s="357">
        <v>15018</v>
      </c>
      <c r="T132" s="357">
        <v>15018</v>
      </c>
      <c r="U132" s="357">
        <v>15018</v>
      </c>
      <c r="X132" s="357"/>
      <c r="Y132" s="499"/>
    </row>
    <row r="133" spans="1:25">
      <c r="A133" s="349">
        <v>104</v>
      </c>
      <c r="B133" s="353" t="s">
        <v>123</v>
      </c>
      <c r="C133" s="349" t="s">
        <v>365</v>
      </c>
      <c r="D133" s="357">
        <v>45606</v>
      </c>
      <c r="E133" s="357">
        <v>37462</v>
      </c>
      <c r="F133" s="357">
        <v>40720</v>
      </c>
      <c r="G133" s="357">
        <v>35665</v>
      </c>
      <c r="H133" s="357">
        <v>35278</v>
      </c>
      <c r="I133" s="357">
        <v>37462</v>
      </c>
      <c r="J133" s="357">
        <v>24723.5072</v>
      </c>
      <c r="K133" s="357">
        <v>43434.428800000002</v>
      </c>
      <c r="L133" s="357">
        <v>38766</v>
      </c>
      <c r="M133" s="357">
        <v>45606</v>
      </c>
      <c r="N133" s="357">
        <v>34890</v>
      </c>
      <c r="O133" s="357">
        <v>52121</v>
      </c>
      <c r="P133" s="357">
        <v>52121</v>
      </c>
      <c r="Q133" s="357">
        <v>52121</v>
      </c>
      <c r="R133" s="357">
        <v>52121.095999999998</v>
      </c>
      <c r="S133" s="357">
        <v>52121</v>
      </c>
      <c r="T133" s="357">
        <v>52121</v>
      </c>
      <c r="U133" s="357">
        <v>52121</v>
      </c>
      <c r="X133" s="357"/>
      <c r="Y133" s="499"/>
    </row>
    <row r="134" spans="1:25">
      <c r="A134" s="349">
        <v>105</v>
      </c>
      <c r="B134" s="353" t="s">
        <v>124</v>
      </c>
      <c r="C134" s="349" t="s">
        <v>365</v>
      </c>
      <c r="D134" s="357">
        <v>786</v>
      </c>
      <c r="E134" s="357">
        <v>786</v>
      </c>
      <c r="F134" s="357">
        <v>786</v>
      </c>
      <c r="G134" s="357">
        <v>786</v>
      </c>
      <c r="H134" s="357">
        <v>786</v>
      </c>
      <c r="I134" s="357">
        <v>786</v>
      </c>
      <c r="J134" s="357">
        <v>785.72320000000002</v>
      </c>
      <c r="K134" s="357">
        <v>785.72320000000002</v>
      </c>
      <c r="L134" s="357">
        <v>786</v>
      </c>
      <c r="M134" s="357">
        <v>786</v>
      </c>
      <c r="N134" s="357">
        <v>786</v>
      </c>
      <c r="O134" s="357">
        <v>904</v>
      </c>
      <c r="P134" s="357">
        <v>904</v>
      </c>
      <c r="Q134" s="357">
        <v>904</v>
      </c>
      <c r="R134" s="357">
        <v>903.74559999999997</v>
      </c>
      <c r="S134" s="357">
        <v>904</v>
      </c>
      <c r="T134" s="357">
        <v>904</v>
      </c>
      <c r="U134" s="357">
        <v>904</v>
      </c>
      <c r="X134" s="357"/>
      <c r="Y134" s="499"/>
    </row>
    <row r="135" spans="1:25">
      <c r="A135" s="349">
        <v>106</v>
      </c>
      <c r="B135" s="353" t="s">
        <v>125</v>
      </c>
      <c r="C135" s="349" t="s">
        <v>365</v>
      </c>
      <c r="D135" s="357">
        <v>627</v>
      </c>
      <c r="E135" s="357">
        <v>597</v>
      </c>
      <c r="F135" s="357">
        <v>597</v>
      </c>
      <c r="G135" s="357">
        <v>597</v>
      </c>
      <c r="H135" s="357">
        <v>627</v>
      </c>
      <c r="I135" s="357">
        <v>627</v>
      </c>
      <c r="J135" s="357">
        <v>656.77279999999996</v>
      </c>
      <c r="K135" s="357">
        <v>596.66880000000003</v>
      </c>
      <c r="L135" s="357">
        <v>597</v>
      </c>
      <c r="M135" s="357">
        <v>627</v>
      </c>
      <c r="N135" s="357">
        <v>597</v>
      </c>
      <c r="O135" s="357">
        <v>717</v>
      </c>
      <c r="P135" s="357">
        <v>717</v>
      </c>
      <c r="Q135" s="357">
        <v>717</v>
      </c>
      <c r="R135" s="357">
        <v>716.8768</v>
      </c>
      <c r="S135" s="357">
        <v>717</v>
      </c>
      <c r="T135" s="357">
        <v>717</v>
      </c>
      <c r="U135" s="357">
        <v>717</v>
      </c>
      <c r="X135" s="357"/>
      <c r="Y135" s="499"/>
    </row>
    <row r="136" spans="1:25">
      <c r="A136" s="349">
        <v>107</v>
      </c>
      <c r="B136" s="353" t="s">
        <v>126</v>
      </c>
      <c r="C136" s="349" t="s">
        <v>365</v>
      </c>
      <c r="D136" s="357">
        <v>728</v>
      </c>
      <c r="E136" s="357">
        <v>694</v>
      </c>
      <c r="F136" s="357">
        <v>694</v>
      </c>
      <c r="G136" s="357">
        <v>694</v>
      </c>
      <c r="H136" s="357">
        <v>694</v>
      </c>
      <c r="I136" s="357">
        <v>694</v>
      </c>
      <c r="J136" s="357">
        <v>754.03200000000004</v>
      </c>
      <c r="K136" s="357">
        <v>693.928</v>
      </c>
      <c r="L136" s="357">
        <v>694</v>
      </c>
      <c r="M136" s="357">
        <v>728</v>
      </c>
      <c r="N136" s="357">
        <v>694</v>
      </c>
      <c r="O136" s="357">
        <v>832</v>
      </c>
      <c r="P136" s="357">
        <v>832</v>
      </c>
      <c r="Q136" s="357">
        <v>832</v>
      </c>
      <c r="R136" s="357">
        <v>831.62080000000003</v>
      </c>
      <c r="S136" s="357">
        <v>832</v>
      </c>
      <c r="T136" s="357">
        <v>832</v>
      </c>
      <c r="U136" s="357">
        <v>832</v>
      </c>
      <c r="X136" s="357"/>
      <c r="Y136" s="499"/>
    </row>
    <row r="137" spans="1:25">
      <c r="A137" s="349">
        <v>108</v>
      </c>
      <c r="B137" s="353" t="s">
        <v>127</v>
      </c>
      <c r="C137" s="349" t="s">
        <v>365</v>
      </c>
      <c r="D137" s="357">
        <v>759</v>
      </c>
      <c r="E137" s="357">
        <v>694</v>
      </c>
      <c r="F137" s="357">
        <v>723</v>
      </c>
      <c r="G137" s="357">
        <v>694</v>
      </c>
      <c r="H137" s="357">
        <v>694</v>
      </c>
      <c r="I137" s="357">
        <v>694</v>
      </c>
      <c r="J137" s="357">
        <v>754.03200000000004</v>
      </c>
      <c r="K137" s="357">
        <v>723.43359999999996</v>
      </c>
      <c r="L137" s="357">
        <v>723</v>
      </c>
      <c r="M137" s="357">
        <v>759</v>
      </c>
      <c r="N137" s="357">
        <v>723</v>
      </c>
      <c r="O137" s="357">
        <v>868</v>
      </c>
      <c r="P137" s="357">
        <v>868</v>
      </c>
      <c r="Q137" s="357">
        <v>868</v>
      </c>
      <c r="R137" s="357">
        <v>867.68319999999994</v>
      </c>
      <c r="S137" s="357">
        <v>868</v>
      </c>
      <c r="T137" s="357">
        <v>868</v>
      </c>
      <c r="U137" s="357">
        <v>868</v>
      </c>
      <c r="X137" s="357"/>
      <c r="Y137" s="499"/>
    </row>
    <row r="138" spans="1:25">
      <c r="A138" s="349">
        <v>109</v>
      </c>
      <c r="B138" s="353" t="s">
        <v>128</v>
      </c>
      <c r="C138" s="349" t="s">
        <v>365</v>
      </c>
      <c r="D138" s="357">
        <v>537</v>
      </c>
      <c r="E138" s="357">
        <v>510</v>
      </c>
      <c r="F138" s="357">
        <v>510</v>
      </c>
      <c r="G138" s="357">
        <v>510</v>
      </c>
      <c r="H138" s="357">
        <v>537</v>
      </c>
      <c r="I138" s="357">
        <v>537</v>
      </c>
      <c r="J138" s="357">
        <v>561.69920000000002</v>
      </c>
      <c r="K138" s="357">
        <v>510.33760000000001</v>
      </c>
      <c r="L138" s="357">
        <v>510</v>
      </c>
      <c r="M138" s="357">
        <v>537</v>
      </c>
      <c r="N138" s="357">
        <v>510</v>
      </c>
      <c r="O138" s="357">
        <v>613</v>
      </c>
      <c r="P138" s="357">
        <v>613</v>
      </c>
      <c r="Q138" s="357">
        <v>613</v>
      </c>
      <c r="R138" s="357">
        <v>613.06079999999997</v>
      </c>
      <c r="S138" s="357">
        <v>613</v>
      </c>
      <c r="T138" s="357">
        <v>613</v>
      </c>
      <c r="U138" s="357">
        <v>613</v>
      </c>
      <c r="X138" s="357"/>
      <c r="Y138" s="499"/>
    </row>
    <row r="139" spans="1:25">
      <c r="A139" s="349">
        <v>110</v>
      </c>
      <c r="B139" s="353" t="s">
        <v>129</v>
      </c>
      <c r="C139" s="349" t="s">
        <v>365</v>
      </c>
      <c r="D139" s="357">
        <v>786</v>
      </c>
      <c r="E139" s="357">
        <v>694</v>
      </c>
      <c r="F139" s="357">
        <v>754</v>
      </c>
      <c r="G139" s="357">
        <v>694</v>
      </c>
      <c r="H139" s="357">
        <v>694</v>
      </c>
      <c r="I139" s="357">
        <v>694</v>
      </c>
      <c r="J139" s="357">
        <v>754.03200000000004</v>
      </c>
      <c r="K139" s="357">
        <v>785.72320000000002</v>
      </c>
      <c r="L139" s="357">
        <v>754</v>
      </c>
      <c r="M139" s="357">
        <v>786</v>
      </c>
      <c r="N139" s="357">
        <v>761</v>
      </c>
      <c r="O139" s="357">
        <v>904</v>
      </c>
      <c r="P139" s="357">
        <v>904</v>
      </c>
      <c r="Q139" s="357">
        <v>904</v>
      </c>
      <c r="R139" s="357">
        <v>903.74559999999997</v>
      </c>
      <c r="S139" s="357">
        <v>904</v>
      </c>
      <c r="T139" s="357">
        <v>904</v>
      </c>
      <c r="U139" s="357">
        <v>904</v>
      </c>
      <c r="X139" s="357"/>
      <c r="Y139" s="499"/>
    </row>
    <row r="140" spans="1:25">
      <c r="A140" s="349">
        <v>111</v>
      </c>
      <c r="B140" s="353" t="s">
        <v>130</v>
      </c>
      <c r="C140" s="349" t="s">
        <v>365</v>
      </c>
      <c r="D140" s="357">
        <v>786</v>
      </c>
      <c r="E140" s="357">
        <v>694</v>
      </c>
      <c r="F140" s="357">
        <v>754</v>
      </c>
      <c r="G140" s="357">
        <v>694</v>
      </c>
      <c r="H140" s="357">
        <v>694</v>
      </c>
      <c r="I140" s="357">
        <v>694</v>
      </c>
      <c r="J140" s="357">
        <v>754.03200000000004</v>
      </c>
      <c r="K140" s="357">
        <v>785.72320000000002</v>
      </c>
      <c r="L140" s="357">
        <v>754</v>
      </c>
      <c r="M140" s="357">
        <v>786</v>
      </c>
      <c r="N140" s="357">
        <v>761</v>
      </c>
      <c r="O140" s="357">
        <v>904</v>
      </c>
      <c r="P140" s="357">
        <v>904</v>
      </c>
      <c r="Q140" s="357">
        <v>904</v>
      </c>
      <c r="R140" s="357">
        <v>903.74559999999997</v>
      </c>
      <c r="S140" s="357">
        <v>904</v>
      </c>
      <c r="T140" s="357">
        <v>904</v>
      </c>
      <c r="U140" s="357">
        <v>904</v>
      </c>
      <c r="X140" s="357"/>
      <c r="Y140" s="499"/>
    </row>
    <row r="141" spans="1:25">
      <c r="A141" s="349">
        <v>112</v>
      </c>
      <c r="B141" s="353" t="s">
        <v>131</v>
      </c>
      <c r="C141" s="349" t="s">
        <v>365</v>
      </c>
      <c r="D141" s="357">
        <v>1335</v>
      </c>
      <c r="E141" s="357">
        <v>1335</v>
      </c>
      <c r="F141" s="357">
        <v>1335</v>
      </c>
      <c r="G141" s="357">
        <v>1335</v>
      </c>
      <c r="H141" s="357">
        <v>1335</v>
      </c>
      <c r="I141" s="357">
        <v>1335</v>
      </c>
      <c r="J141" s="357">
        <v>1335.4015999999999</v>
      </c>
      <c r="K141" s="357">
        <v>1335.4015999999999</v>
      </c>
      <c r="L141" s="357">
        <v>1335</v>
      </c>
      <c r="M141" s="357">
        <v>1335</v>
      </c>
      <c r="N141" s="357">
        <v>1335</v>
      </c>
      <c r="O141" s="357">
        <v>1535</v>
      </c>
      <c r="P141" s="357">
        <v>1535</v>
      </c>
      <c r="Q141" s="357">
        <v>1535</v>
      </c>
      <c r="R141" s="357">
        <v>1535.384</v>
      </c>
      <c r="S141" s="357">
        <v>1535</v>
      </c>
      <c r="T141" s="357">
        <v>1535</v>
      </c>
      <c r="U141" s="357">
        <v>1535</v>
      </c>
      <c r="X141" s="357"/>
      <c r="Y141" s="499"/>
    </row>
    <row r="142" spans="1:25">
      <c r="A142" s="349">
        <v>113</v>
      </c>
      <c r="B142" s="353" t="s">
        <v>132</v>
      </c>
      <c r="C142" s="349" t="s">
        <v>365</v>
      </c>
      <c r="D142" s="357">
        <v>1416</v>
      </c>
      <c r="E142" s="357">
        <v>1416</v>
      </c>
      <c r="F142" s="357">
        <v>1416</v>
      </c>
      <c r="G142" s="357">
        <v>1416</v>
      </c>
      <c r="H142" s="357">
        <v>1416</v>
      </c>
      <c r="I142" s="357">
        <v>1416</v>
      </c>
      <c r="J142" s="357">
        <v>1416.2688000000001</v>
      </c>
      <c r="K142" s="357">
        <v>1416.2688000000001</v>
      </c>
      <c r="L142" s="357">
        <v>1416</v>
      </c>
      <c r="M142" s="357">
        <v>1416</v>
      </c>
      <c r="N142" s="357">
        <v>1416</v>
      </c>
      <c r="O142" s="357">
        <v>1629</v>
      </c>
      <c r="P142" s="357">
        <v>1629</v>
      </c>
      <c r="Q142" s="357">
        <v>1629</v>
      </c>
      <c r="R142" s="357">
        <v>1629.3648000000001</v>
      </c>
      <c r="S142" s="357">
        <v>1629</v>
      </c>
      <c r="T142" s="357">
        <v>1629</v>
      </c>
      <c r="U142" s="357">
        <v>1629</v>
      </c>
      <c r="X142" s="357"/>
      <c r="Y142" s="499"/>
    </row>
    <row r="143" spans="1:25">
      <c r="A143" s="349">
        <v>114</v>
      </c>
      <c r="B143" s="353" t="s">
        <v>133</v>
      </c>
      <c r="C143" s="349" t="s">
        <v>365</v>
      </c>
      <c r="D143" s="357">
        <v>1416</v>
      </c>
      <c r="E143" s="357">
        <v>1416</v>
      </c>
      <c r="F143" s="357">
        <v>1416</v>
      </c>
      <c r="G143" s="357">
        <v>1416</v>
      </c>
      <c r="H143" s="357">
        <v>1416</v>
      </c>
      <c r="I143" s="357">
        <v>1416</v>
      </c>
      <c r="J143" s="357">
        <v>1416.2688000000001</v>
      </c>
      <c r="K143" s="357">
        <v>1416.2688000000001</v>
      </c>
      <c r="L143" s="357">
        <v>1416</v>
      </c>
      <c r="M143" s="357">
        <v>1416</v>
      </c>
      <c r="N143" s="357">
        <v>1416</v>
      </c>
      <c r="O143" s="357">
        <v>1629</v>
      </c>
      <c r="P143" s="357">
        <v>1629</v>
      </c>
      <c r="Q143" s="357">
        <v>1629</v>
      </c>
      <c r="R143" s="357">
        <v>1629.3648000000001</v>
      </c>
      <c r="S143" s="357">
        <v>1629</v>
      </c>
      <c r="T143" s="357">
        <v>1629</v>
      </c>
      <c r="U143" s="357">
        <v>1629</v>
      </c>
      <c r="X143" s="357"/>
      <c r="Y143" s="499"/>
    </row>
    <row r="144" spans="1:25">
      <c r="A144" s="349">
        <v>115</v>
      </c>
      <c r="B144" s="353" t="s">
        <v>134</v>
      </c>
      <c r="C144" s="349" t="s">
        <v>365</v>
      </c>
      <c r="D144" s="357">
        <v>1416</v>
      </c>
      <c r="E144" s="357">
        <v>1416</v>
      </c>
      <c r="F144" s="357">
        <v>1416</v>
      </c>
      <c r="G144" s="357">
        <v>1416</v>
      </c>
      <c r="H144" s="357">
        <v>1416</v>
      </c>
      <c r="I144" s="357">
        <v>1416</v>
      </c>
      <c r="J144" s="357">
        <v>1416.2688000000001</v>
      </c>
      <c r="K144" s="357">
        <v>1416.2688000000001</v>
      </c>
      <c r="L144" s="357">
        <v>1416</v>
      </c>
      <c r="M144" s="357">
        <v>1416</v>
      </c>
      <c r="N144" s="357">
        <v>1416</v>
      </c>
      <c r="O144" s="357">
        <v>1629</v>
      </c>
      <c r="P144" s="357">
        <v>1629</v>
      </c>
      <c r="Q144" s="357">
        <v>1629</v>
      </c>
      <c r="R144" s="357">
        <v>1629.3648000000001</v>
      </c>
      <c r="S144" s="357">
        <v>1629</v>
      </c>
      <c r="T144" s="357">
        <v>1629</v>
      </c>
      <c r="U144" s="357">
        <v>1629</v>
      </c>
      <c r="X144" s="357"/>
      <c r="Y144" s="499"/>
    </row>
    <row r="145" spans="1:25">
      <c r="A145" s="349">
        <v>116</v>
      </c>
      <c r="B145" s="353" t="s">
        <v>135</v>
      </c>
      <c r="C145" s="349" t="s">
        <v>365</v>
      </c>
      <c r="D145" s="357">
        <v>1416</v>
      </c>
      <c r="E145" s="357">
        <v>1416</v>
      </c>
      <c r="F145" s="357">
        <v>1416</v>
      </c>
      <c r="G145" s="357">
        <v>1416</v>
      </c>
      <c r="H145" s="357">
        <v>1416</v>
      </c>
      <c r="I145" s="357">
        <v>1416</v>
      </c>
      <c r="J145" s="357">
        <v>1416.2688000000001</v>
      </c>
      <c r="K145" s="357">
        <v>1416.2688000000001</v>
      </c>
      <c r="L145" s="357">
        <v>1416</v>
      </c>
      <c r="M145" s="357">
        <v>1416</v>
      </c>
      <c r="N145" s="357">
        <v>1416</v>
      </c>
      <c r="O145" s="357">
        <v>1629</v>
      </c>
      <c r="P145" s="357">
        <v>1629</v>
      </c>
      <c r="Q145" s="357">
        <v>1629</v>
      </c>
      <c r="R145" s="357">
        <v>1629.3648000000001</v>
      </c>
      <c r="S145" s="357">
        <v>1629</v>
      </c>
      <c r="T145" s="357">
        <v>1629</v>
      </c>
      <c r="U145" s="357">
        <v>1629</v>
      </c>
      <c r="X145" s="357"/>
      <c r="Y145" s="499"/>
    </row>
    <row r="146" spans="1:25">
      <c r="A146" s="349">
        <v>117</v>
      </c>
      <c r="B146" s="353" t="s">
        <v>136</v>
      </c>
      <c r="C146" s="349" t="s">
        <v>365</v>
      </c>
      <c r="D146" s="357">
        <v>1416</v>
      </c>
      <c r="E146" s="357">
        <v>1416</v>
      </c>
      <c r="F146" s="357">
        <v>1416</v>
      </c>
      <c r="G146" s="357">
        <v>1416</v>
      </c>
      <c r="H146" s="357">
        <v>1416</v>
      </c>
      <c r="I146" s="357">
        <v>1416</v>
      </c>
      <c r="J146" s="357">
        <v>1416.2688000000001</v>
      </c>
      <c r="K146" s="357">
        <v>1416.2688000000001</v>
      </c>
      <c r="L146" s="357">
        <v>1416</v>
      </c>
      <c r="M146" s="357">
        <v>1416</v>
      </c>
      <c r="N146" s="357">
        <v>1416</v>
      </c>
      <c r="O146" s="357">
        <v>1629</v>
      </c>
      <c r="P146" s="357">
        <v>1629</v>
      </c>
      <c r="Q146" s="357">
        <v>1629</v>
      </c>
      <c r="R146" s="357">
        <v>1629.3648000000001</v>
      </c>
      <c r="S146" s="357">
        <v>1629</v>
      </c>
      <c r="T146" s="357">
        <v>1629</v>
      </c>
      <c r="U146" s="357">
        <v>1629</v>
      </c>
      <c r="X146" s="357"/>
      <c r="Y146" s="499"/>
    </row>
    <row r="147" spans="1:25">
      <c r="A147" s="349">
        <v>118</v>
      </c>
      <c r="B147" s="353" t="s">
        <v>137</v>
      </c>
      <c r="C147" s="349" t="s">
        <v>365</v>
      </c>
      <c r="D147" s="357">
        <v>1929</v>
      </c>
      <c r="E147" s="357">
        <v>1411</v>
      </c>
      <c r="F147" s="357">
        <v>1533</v>
      </c>
      <c r="G147" s="357">
        <v>1411</v>
      </c>
      <c r="H147" s="357">
        <v>1411</v>
      </c>
      <c r="I147" s="357">
        <v>1411</v>
      </c>
      <c r="J147" s="357">
        <v>1533.1984</v>
      </c>
      <c r="K147" s="357">
        <v>1900.3792000000001</v>
      </c>
      <c r="L147" s="357">
        <v>1533</v>
      </c>
      <c r="M147" s="357">
        <v>1929</v>
      </c>
      <c r="N147" s="357">
        <v>1545</v>
      </c>
      <c r="O147" s="357">
        <v>2217</v>
      </c>
      <c r="P147" s="357">
        <v>2217</v>
      </c>
      <c r="Q147" s="357">
        <v>2217</v>
      </c>
      <c r="R147" s="357">
        <v>2217.2912000000001</v>
      </c>
      <c r="S147" s="357">
        <v>2217</v>
      </c>
      <c r="T147" s="357">
        <v>2217</v>
      </c>
      <c r="U147" s="357">
        <v>2217</v>
      </c>
      <c r="X147" s="357"/>
      <c r="Y147" s="499"/>
    </row>
    <row r="148" spans="1:25">
      <c r="A148" s="349">
        <v>119</v>
      </c>
      <c r="B148" s="353" t="s">
        <v>138</v>
      </c>
      <c r="C148" s="349" t="s">
        <v>365</v>
      </c>
      <c r="D148" s="357">
        <v>1929</v>
      </c>
      <c r="E148" s="357">
        <v>1489</v>
      </c>
      <c r="F148" s="357">
        <v>1620</v>
      </c>
      <c r="G148" s="357">
        <v>1489</v>
      </c>
      <c r="H148" s="357">
        <v>1489</v>
      </c>
      <c r="I148" s="357">
        <v>1489</v>
      </c>
      <c r="J148" s="357">
        <v>1619.5296000000001</v>
      </c>
      <c r="K148" s="357">
        <v>1928.7919999999999</v>
      </c>
      <c r="L148" s="357">
        <v>1620</v>
      </c>
      <c r="M148" s="357">
        <v>1929</v>
      </c>
      <c r="N148" s="357">
        <v>1633</v>
      </c>
      <c r="O148" s="357">
        <v>2217</v>
      </c>
      <c r="P148" s="357">
        <v>2217</v>
      </c>
      <c r="Q148" s="357">
        <v>2217</v>
      </c>
      <c r="R148" s="357">
        <v>2217.2912000000001</v>
      </c>
      <c r="S148" s="357">
        <v>2217</v>
      </c>
      <c r="T148" s="357">
        <v>2217</v>
      </c>
      <c r="U148" s="357">
        <v>2217</v>
      </c>
      <c r="X148" s="357"/>
      <c r="Y148" s="499"/>
    </row>
    <row r="149" spans="1:25">
      <c r="A149" s="349">
        <v>120</v>
      </c>
      <c r="B149" s="353" t="s">
        <v>139</v>
      </c>
      <c r="C149" s="349" t="s">
        <v>365</v>
      </c>
      <c r="D149" s="357">
        <v>1929</v>
      </c>
      <c r="E149" s="357">
        <v>1489</v>
      </c>
      <c r="F149" s="357">
        <v>1620</v>
      </c>
      <c r="G149" s="357">
        <v>1489</v>
      </c>
      <c r="H149" s="357">
        <v>1489</v>
      </c>
      <c r="I149" s="357">
        <v>1489</v>
      </c>
      <c r="J149" s="357">
        <v>1619.5296000000001</v>
      </c>
      <c r="K149" s="357">
        <v>1928.7919999999999</v>
      </c>
      <c r="L149" s="357">
        <v>1620</v>
      </c>
      <c r="M149" s="357">
        <v>1929</v>
      </c>
      <c r="N149" s="357">
        <v>1633</v>
      </c>
      <c r="O149" s="357">
        <v>2217</v>
      </c>
      <c r="P149" s="357">
        <v>2217</v>
      </c>
      <c r="Q149" s="357">
        <v>2217</v>
      </c>
      <c r="R149" s="357">
        <v>2217.2912000000001</v>
      </c>
      <c r="S149" s="357">
        <v>2217</v>
      </c>
      <c r="T149" s="357">
        <v>2217</v>
      </c>
      <c r="U149" s="357">
        <v>2217</v>
      </c>
      <c r="X149" s="357"/>
      <c r="Y149" s="499"/>
    </row>
    <row r="150" spans="1:25">
      <c r="A150" s="349">
        <v>121</v>
      </c>
      <c r="B150" s="353" t="s">
        <v>140</v>
      </c>
      <c r="C150" s="349" t="s">
        <v>365</v>
      </c>
      <c r="D150" s="357">
        <v>1668</v>
      </c>
      <c r="E150" s="357">
        <v>1489</v>
      </c>
      <c r="F150" s="357">
        <v>1589</v>
      </c>
      <c r="G150" s="357">
        <v>1489</v>
      </c>
      <c r="H150" s="357">
        <v>1489</v>
      </c>
      <c r="I150" s="357">
        <v>1489</v>
      </c>
      <c r="J150" s="357">
        <v>1619.5296000000001</v>
      </c>
      <c r="K150" s="357">
        <v>1588.9312</v>
      </c>
      <c r="L150" s="357">
        <v>1589</v>
      </c>
      <c r="M150" s="357">
        <v>1668</v>
      </c>
      <c r="N150" s="357">
        <v>1589</v>
      </c>
      <c r="O150" s="357">
        <v>1906</v>
      </c>
      <c r="P150" s="357">
        <v>1906</v>
      </c>
      <c r="Q150" s="357">
        <v>1906</v>
      </c>
      <c r="R150" s="357">
        <v>1905.8432</v>
      </c>
      <c r="S150" s="357">
        <v>1906</v>
      </c>
      <c r="T150" s="357">
        <v>1906</v>
      </c>
      <c r="U150" s="357">
        <v>1906</v>
      </c>
      <c r="X150" s="357"/>
      <c r="Y150" s="499"/>
    </row>
    <row r="151" spans="1:25">
      <c r="A151" s="349">
        <v>122</v>
      </c>
      <c r="B151" s="353" t="s">
        <v>141</v>
      </c>
      <c r="C151" s="349" t="s">
        <v>365</v>
      </c>
      <c r="D151" s="357">
        <v>1929</v>
      </c>
      <c r="E151" s="357">
        <v>1489</v>
      </c>
      <c r="F151" s="357">
        <v>1620</v>
      </c>
      <c r="G151" s="357">
        <v>1489</v>
      </c>
      <c r="H151" s="357">
        <v>1489</v>
      </c>
      <c r="I151" s="357">
        <v>1489</v>
      </c>
      <c r="J151" s="357">
        <v>1619.5296000000001</v>
      </c>
      <c r="K151" s="357">
        <v>1928.7919999999999</v>
      </c>
      <c r="L151" s="357">
        <v>1620</v>
      </c>
      <c r="M151" s="357">
        <v>1929</v>
      </c>
      <c r="N151" s="357">
        <v>1633</v>
      </c>
      <c r="O151" s="357">
        <v>2217</v>
      </c>
      <c r="P151" s="357">
        <v>2217</v>
      </c>
      <c r="Q151" s="357">
        <v>2217</v>
      </c>
      <c r="R151" s="357">
        <v>2217.2912000000001</v>
      </c>
      <c r="S151" s="357">
        <v>2217</v>
      </c>
      <c r="T151" s="357">
        <v>2217</v>
      </c>
      <c r="U151" s="357">
        <v>2217</v>
      </c>
      <c r="X151" s="357"/>
      <c r="Y151" s="499"/>
    </row>
    <row r="152" spans="1:25">
      <c r="A152" s="349">
        <v>123</v>
      </c>
      <c r="B152" s="353" t="s">
        <v>142</v>
      </c>
      <c r="C152" s="349" t="s">
        <v>365</v>
      </c>
      <c r="D152" s="357">
        <v>1929</v>
      </c>
      <c r="E152" s="357">
        <v>1489</v>
      </c>
      <c r="F152" s="357">
        <v>1620</v>
      </c>
      <c r="G152" s="357">
        <v>1489</v>
      </c>
      <c r="H152" s="357">
        <v>1489</v>
      </c>
      <c r="I152" s="357">
        <v>1489</v>
      </c>
      <c r="J152" s="357">
        <v>1619.5296000000001</v>
      </c>
      <c r="K152" s="357">
        <v>1928.7919999999999</v>
      </c>
      <c r="L152" s="357">
        <v>1620</v>
      </c>
      <c r="M152" s="357">
        <v>1929</v>
      </c>
      <c r="N152" s="357">
        <v>1633</v>
      </c>
      <c r="O152" s="357">
        <v>2217</v>
      </c>
      <c r="P152" s="357">
        <v>2217</v>
      </c>
      <c r="Q152" s="357">
        <v>2217</v>
      </c>
      <c r="R152" s="357">
        <v>2217.2912000000001</v>
      </c>
      <c r="S152" s="357">
        <v>2217</v>
      </c>
      <c r="T152" s="357">
        <v>2217</v>
      </c>
      <c r="U152" s="357">
        <v>2217</v>
      </c>
      <c r="X152" s="357"/>
      <c r="Y152" s="499"/>
    </row>
    <row r="153" spans="1:25">
      <c r="A153" s="349">
        <v>124</v>
      </c>
      <c r="B153" s="353" t="s">
        <v>143</v>
      </c>
      <c r="C153" s="349" t="s">
        <v>365</v>
      </c>
      <c r="D153" s="357">
        <v>1929</v>
      </c>
      <c r="E153" s="357">
        <v>1929</v>
      </c>
      <c r="F153" s="357">
        <v>1929</v>
      </c>
      <c r="G153" s="357">
        <v>1929</v>
      </c>
      <c r="H153" s="357">
        <v>1929</v>
      </c>
      <c r="I153" s="357">
        <v>1929</v>
      </c>
      <c r="J153" s="357">
        <v>1928.7919999999999</v>
      </c>
      <c r="K153" s="357">
        <v>1928.7919999999999</v>
      </c>
      <c r="L153" s="357">
        <v>1929</v>
      </c>
      <c r="M153" s="357">
        <v>1929</v>
      </c>
      <c r="N153" s="357">
        <v>1929</v>
      </c>
      <c r="O153" s="357">
        <v>2217</v>
      </c>
      <c r="P153" s="357">
        <v>2217</v>
      </c>
      <c r="Q153" s="357">
        <v>2217</v>
      </c>
      <c r="R153" s="357">
        <v>2217.2912000000001</v>
      </c>
      <c r="S153" s="357">
        <v>2217</v>
      </c>
      <c r="T153" s="357">
        <v>2217</v>
      </c>
      <c r="U153" s="357">
        <v>2217</v>
      </c>
      <c r="X153" s="357"/>
      <c r="Y153" s="499"/>
    </row>
    <row r="154" spans="1:25">
      <c r="A154" s="349">
        <v>125</v>
      </c>
      <c r="B154" s="353" t="s">
        <v>144</v>
      </c>
      <c r="C154" s="349" t="s">
        <v>365</v>
      </c>
      <c r="D154" s="357">
        <v>3055</v>
      </c>
      <c r="E154" s="357">
        <v>2957</v>
      </c>
      <c r="F154" s="357">
        <v>3055</v>
      </c>
      <c r="G154" s="357">
        <v>2957</v>
      </c>
      <c r="H154" s="357">
        <v>2957</v>
      </c>
      <c r="I154" s="357">
        <v>2957</v>
      </c>
      <c r="J154" s="357">
        <v>3055.4688000000001</v>
      </c>
      <c r="K154" s="357">
        <v>3055.4688000000001</v>
      </c>
      <c r="L154" s="357">
        <v>3055</v>
      </c>
      <c r="M154" s="357">
        <v>3055</v>
      </c>
      <c r="N154" s="357">
        <v>3055</v>
      </c>
      <c r="O154" s="357">
        <v>3514</v>
      </c>
      <c r="P154" s="357">
        <v>3514</v>
      </c>
      <c r="Q154" s="357">
        <v>3514</v>
      </c>
      <c r="R154" s="357">
        <v>3514.4448000000002</v>
      </c>
      <c r="S154" s="357">
        <v>3514</v>
      </c>
      <c r="T154" s="357">
        <v>3514</v>
      </c>
      <c r="U154" s="357">
        <v>3514</v>
      </c>
      <c r="X154" s="357"/>
      <c r="Y154" s="499"/>
    </row>
    <row r="155" spans="1:25">
      <c r="A155" s="349">
        <v>126</v>
      </c>
      <c r="B155" s="353" t="s">
        <v>145</v>
      </c>
      <c r="C155" s="349" t="s">
        <v>365</v>
      </c>
      <c r="D155" s="357">
        <v>3568</v>
      </c>
      <c r="E155" s="357">
        <v>2957</v>
      </c>
      <c r="F155" s="357">
        <v>3214</v>
      </c>
      <c r="G155" s="357">
        <v>2957</v>
      </c>
      <c r="H155" s="357">
        <v>2957</v>
      </c>
      <c r="I155" s="357">
        <v>2957</v>
      </c>
      <c r="J155" s="357">
        <v>3213.9247999999998</v>
      </c>
      <c r="K155" s="357">
        <v>3522.0944</v>
      </c>
      <c r="L155" s="357">
        <v>3214</v>
      </c>
      <c r="M155" s="357">
        <v>3568</v>
      </c>
      <c r="N155" s="357">
        <v>3240</v>
      </c>
      <c r="O155" s="357">
        <v>4102</v>
      </c>
      <c r="P155" s="357">
        <v>4102</v>
      </c>
      <c r="Q155" s="357">
        <v>4102</v>
      </c>
      <c r="R155" s="357">
        <v>4102.3711999999996</v>
      </c>
      <c r="S155" s="357">
        <v>4102</v>
      </c>
      <c r="T155" s="357">
        <v>4102</v>
      </c>
      <c r="U155" s="357">
        <v>4102</v>
      </c>
      <c r="X155" s="357"/>
      <c r="Y155" s="499"/>
    </row>
    <row r="156" spans="1:25">
      <c r="A156" s="349">
        <v>127</v>
      </c>
      <c r="B156" s="353" t="s">
        <v>146</v>
      </c>
      <c r="C156" s="349" t="s">
        <v>365</v>
      </c>
      <c r="D156" s="357">
        <v>2331</v>
      </c>
      <c r="E156" s="357">
        <v>2331</v>
      </c>
      <c r="F156" s="357">
        <v>2331</v>
      </c>
      <c r="G156" s="357">
        <v>2331</v>
      </c>
      <c r="H156" s="357">
        <v>2331</v>
      </c>
      <c r="I156" s="357">
        <v>2331</v>
      </c>
      <c r="J156" s="357">
        <v>2330.9423999999999</v>
      </c>
      <c r="K156" s="357">
        <v>2330.9423999999999</v>
      </c>
      <c r="L156" s="357">
        <v>2331</v>
      </c>
      <c r="M156" s="357">
        <v>2331</v>
      </c>
      <c r="N156" s="357">
        <v>2331</v>
      </c>
      <c r="O156" s="357">
        <v>2681</v>
      </c>
      <c r="P156" s="357">
        <v>2681</v>
      </c>
      <c r="Q156" s="357">
        <v>2681</v>
      </c>
      <c r="R156" s="357">
        <v>2680.6383999999998</v>
      </c>
      <c r="S156" s="357">
        <v>2681</v>
      </c>
      <c r="T156" s="357">
        <v>2681</v>
      </c>
      <c r="U156" s="357">
        <v>2681</v>
      </c>
      <c r="X156" s="357"/>
      <c r="Y156" s="499"/>
    </row>
    <row r="157" spans="1:25">
      <c r="A157" s="349">
        <v>128</v>
      </c>
      <c r="B157" s="353" t="s">
        <v>147</v>
      </c>
      <c r="C157" s="349" t="s">
        <v>365</v>
      </c>
      <c r="D157" s="357">
        <v>3169</v>
      </c>
      <c r="E157" s="357">
        <v>2957</v>
      </c>
      <c r="F157" s="357">
        <v>3018</v>
      </c>
      <c r="G157" s="357">
        <v>2957</v>
      </c>
      <c r="H157" s="357">
        <v>2957</v>
      </c>
      <c r="I157" s="357">
        <v>2957</v>
      </c>
      <c r="J157" s="357">
        <v>3213.9247999999998</v>
      </c>
      <c r="K157" s="357">
        <v>3018.3136</v>
      </c>
      <c r="L157" s="357">
        <v>3018</v>
      </c>
      <c r="M157" s="357">
        <v>3169</v>
      </c>
      <c r="N157" s="357">
        <v>3018</v>
      </c>
      <c r="O157" s="357">
        <v>3622</v>
      </c>
      <c r="P157" s="357">
        <v>3622</v>
      </c>
      <c r="Q157" s="357">
        <v>3622</v>
      </c>
      <c r="R157" s="357">
        <v>3621.5392000000002</v>
      </c>
      <c r="S157" s="357">
        <v>3622</v>
      </c>
      <c r="T157" s="357">
        <v>3622</v>
      </c>
      <c r="U157" s="357">
        <v>3622</v>
      </c>
      <c r="X157" s="357"/>
      <c r="Y157" s="499"/>
    </row>
    <row r="158" spans="1:25">
      <c r="A158" s="349">
        <v>129</v>
      </c>
      <c r="B158" s="353" t="s">
        <v>148</v>
      </c>
      <c r="C158" s="349" t="s">
        <v>365</v>
      </c>
      <c r="D158" s="357">
        <v>2853</v>
      </c>
      <c r="E158" s="357">
        <v>2717</v>
      </c>
      <c r="F158" s="357">
        <v>2717</v>
      </c>
      <c r="G158" s="357">
        <v>2717</v>
      </c>
      <c r="H158" s="357">
        <v>2853</v>
      </c>
      <c r="I158" s="357">
        <v>2853</v>
      </c>
      <c r="J158" s="357">
        <v>2987.7152000000001</v>
      </c>
      <c r="K158" s="357">
        <v>2716.7008000000001</v>
      </c>
      <c r="L158" s="357">
        <v>2717</v>
      </c>
      <c r="M158" s="357">
        <v>2853</v>
      </c>
      <c r="N158" s="357">
        <v>2717</v>
      </c>
      <c r="O158" s="357">
        <v>3260</v>
      </c>
      <c r="P158" s="357">
        <v>3260</v>
      </c>
      <c r="Q158" s="357">
        <v>3260</v>
      </c>
      <c r="R158" s="357">
        <v>3259.8224</v>
      </c>
      <c r="S158" s="357">
        <v>3260</v>
      </c>
      <c r="T158" s="357">
        <v>3260</v>
      </c>
      <c r="U158" s="357">
        <v>3260</v>
      </c>
      <c r="X158" s="357"/>
      <c r="Y158" s="499"/>
    </row>
    <row r="159" spans="1:25">
      <c r="A159" s="349">
        <v>130</v>
      </c>
      <c r="B159" s="353" t="s">
        <v>149</v>
      </c>
      <c r="C159" s="349" t="s">
        <v>365</v>
      </c>
      <c r="D159" s="357">
        <v>3447</v>
      </c>
      <c r="E159" s="357">
        <v>3206</v>
      </c>
      <c r="F159" s="357">
        <v>3282</v>
      </c>
      <c r="G159" s="357">
        <v>3152</v>
      </c>
      <c r="H159" s="357">
        <v>3117</v>
      </c>
      <c r="I159" s="357">
        <v>3206</v>
      </c>
      <c r="J159" s="357">
        <v>3486.0320000000002</v>
      </c>
      <c r="K159" s="357">
        <v>3281.6783999999998</v>
      </c>
      <c r="L159" s="357">
        <v>3282</v>
      </c>
      <c r="M159" s="357">
        <v>3447</v>
      </c>
      <c r="N159" s="357">
        <v>3083</v>
      </c>
      <c r="O159" s="357">
        <v>3938</v>
      </c>
      <c r="P159" s="357">
        <v>3938</v>
      </c>
      <c r="Q159" s="357">
        <v>3938</v>
      </c>
      <c r="R159" s="357">
        <v>3938.4512</v>
      </c>
      <c r="S159" s="357">
        <v>3938</v>
      </c>
      <c r="T159" s="357">
        <v>3938</v>
      </c>
      <c r="U159" s="357">
        <v>3938</v>
      </c>
      <c r="X159" s="357"/>
      <c r="Y159" s="499"/>
    </row>
    <row r="160" spans="1:25">
      <c r="A160" s="349">
        <v>131</v>
      </c>
      <c r="B160" s="353" t="s">
        <v>150</v>
      </c>
      <c r="C160" s="349" t="s">
        <v>365</v>
      </c>
      <c r="D160" s="357">
        <v>3447</v>
      </c>
      <c r="E160" s="357">
        <v>3117</v>
      </c>
      <c r="F160" s="357">
        <v>3282</v>
      </c>
      <c r="G160" s="357">
        <v>3117</v>
      </c>
      <c r="H160" s="357">
        <v>3117</v>
      </c>
      <c r="I160" s="357">
        <v>3117</v>
      </c>
      <c r="J160" s="357">
        <v>3386.5871999999999</v>
      </c>
      <c r="K160" s="357">
        <v>3281.6783999999998</v>
      </c>
      <c r="L160" s="357">
        <v>3282</v>
      </c>
      <c r="M160" s="357">
        <v>3447</v>
      </c>
      <c r="N160" s="357">
        <v>3083</v>
      </c>
      <c r="O160" s="357">
        <v>3938</v>
      </c>
      <c r="P160" s="357">
        <v>3938</v>
      </c>
      <c r="Q160" s="357">
        <v>3938</v>
      </c>
      <c r="R160" s="357">
        <v>3938.4512</v>
      </c>
      <c r="S160" s="357">
        <v>3938</v>
      </c>
      <c r="T160" s="357">
        <v>3938</v>
      </c>
      <c r="U160" s="357">
        <v>3938</v>
      </c>
      <c r="X160" s="357"/>
      <c r="Y160" s="499"/>
    </row>
    <row r="161" spans="1:25">
      <c r="A161" s="349">
        <v>132</v>
      </c>
      <c r="B161" s="353" t="s">
        <v>151</v>
      </c>
      <c r="C161" s="349" t="s">
        <v>365</v>
      </c>
      <c r="D161" s="357">
        <v>4002</v>
      </c>
      <c r="E161" s="357">
        <v>3811</v>
      </c>
      <c r="F161" s="357">
        <v>3811</v>
      </c>
      <c r="G161" s="357">
        <v>3811</v>
      </c>
      <c r="H161" s="357">
        <v>3889</v>
      </c>
      <c r="I161" s="357">
        <v>3889</v>
      </c>
      <c r="J161" s="357">
        <v>4191.9808000000003</v>
      </c>
      <c r="K161" s="357">
        <v>3810.5936000000002</v>
      </c>
      <c r="L161" s="357">
        <v>3811</v>
      </c>
      <c r="M161" s="357">
        <v>4002</v>
      </c>
      <c r="N161" s="357">
        <v>3811</v>
      </c>
      <c r="O161" s="357">
        <v>4572</v>
      </c>
      <c r="P161" s="357">
        <v>4572</v>
      </c>
      <c r="Q161" s="357">
        <v>4572</v>
      </c>
      <c r="R161" s="357">
        <v>4572.2752</v>
      </c>
      <c r="S161" s="357">
        <v>4572</v>
      </c>
      <c r="T161" s="357">
        <v>4572</v>
      </c>
      <c r="U161" s="357">
        <v>4572</v>
      </c>
      <c r="X161" s="357"/>
      <c r="Y161" s="499"/>
    </row>
    <row r="162" spans="1:25">
      <c r="A162" s="349">
        <v>133</v>
      </c>
      <c r="B162" s="353" t="s">
        <v>152</v>
      </c>
      <c r="C162" s="349" t="s">
        <v>365</v>
      </c>
      <c r="D162" s="357">
        <v>3861</v>
      </c>
      <c r="E162" s="357">
        <v>3676</v>
      </c>
      <c r="F162" s="357">
        <v>3676</v>
      </c>
      <c r="G162" s="357">
        <v>3676</v>
      </c>
      <c r="H162" s="357">
        <v>3861</v>
      </c>
      <c r="I162" s="357">
        <v>3861</v>
      </c>
      <c r="J162" s="357">
        <v>4043.36</v>
      </c>
      <c r="K162" s="357">
        <v>3676.1792</v>
      </c>
      <c r="L162" s="357">
        <v>3676</v>
      </c>
      <c r="M162" s="357">
        <v>3861</v>
      </c>
      <c r="N162" s="357">
        <v>3676</v>
      </c>
      <c r="O162" s="357">
        <v>4412</v>
      </c>
      <c r="P162" s="357">
        <v>4412</v>
      </c>
      <c r="Q162" s="357">
        <v>4412</v>
      </c>
      <c r="R162" s="357">
        <v>4411.6336000000001</v>
      </c>
      <c r="S162" s="357">
        <v>4412</v>
      </c>
      <c r="T162" s="357">
        <v>4412</v>
      </c>
      <c r="U162" s="357">
        <v>4412</v>
      </c>
      <c r="X162" s="357"/>
      <c r="Y162" s="499"/>
    </row>
    <row r="163" spans="1:25">
      <c r="A163" s="349">
        <v>134</v>
      </c>
      <c r="B163" s="353" t="s">
        <v>153</v>
      </c>
      <c r="C163" s="349" t="s">
        <v>365</v>
      </c>
      <c r="D163" s="357">
        <v>3238</v>
      </c>
      <c r="E163" s="357">
        <v>3084</v>
      </c>
      <c r="F163" s="357">
        <v>3084</v>
      </c>
      <c r="G163" s="357">
        <v>3084</v>
      </c>
      <c r="H163" s="357">
        <v>3238</v>
      </c>
      <c r="I163" s="357">
        <v>3238</v>
      </c>
      <c r="J163" s="357">
        <v>3392.0511999999999</v>
      </c>
      <c r="K163" s="357">
        <v>3083.8816000000002</v>
      </c>
      <c r="L163" s="357">
        <v>3084</v>
      </c>
      <c r="M163" s="357">
        <v>3238</v>
      </c>
      <c r="N163" s="357">
        <v>3084</v>
      </c>
      <c r="O163" s="357">
        <v>3700</v>
      </c>
      <c r="P163" s="357">
        <v>3700</v>
      </c>
      <c r="Q163" s="357">
        <v>3700</v>
      </c>
      <c r="R163" s="357">
        <v>3700.2208000000001</v>
      </c>
      <c r="S163" s="357">
        <v>3700</v>
      </c>
      <c r="T163" s="357">
        <v>3700</v>
      </c>
      <c r="U163" s="357">
        <v>3700</v>
      </c>
      <c r="X163" s="357"/>
      <c r="Y163" s="499"/>
    </row>
    <row r="164" spans="1:25">
      <c r="A164" s="349">
        <v>135</v>
      </c>
      <c r="B164" s="353" t="s">
        <v>154</v>
      </c>
      <c r="C164" s="349" t="s">
        <v>365</v>
      </c>
      <c r="D164" s="357">
        <v>22187</v>
      </c>
      <c r="E164" s="357">
        <v>21130</v>
      </c>
      <c r="F164" s="357">
        <v>21130</v>
      </c>
      <c r="G164" s="357">
        <v>21130</v>
      </c>
      <c r="H164" s="357">
        <v>22187</v>
      </c>
      <c r="I164" s="357">
        <v>22187</v>
      </c>
      <c r="J164" s="357">
        <v>23242.763200000001</v>
      </c>
      <c r="K164" s="357">
        <v>21130.380799999999</v>
      </c>
      <c r="L164" s="357">
        <v>21130</v>
      </c>
      <c r="M164" s="357">
        <v>22187</v>
      </c>
      <c r="N164" s="357">
        <v>21130</v>
      </c>
      <c r="O164" s="357">
        <v>25356</v>
      </c>
      <c r="P164" s="357">
        <v>25356</v>
      </c>
      <c r="Q164" s="357">
        <v>25356</v>
      </c>
      <c r="R164" s="357">
        <v>25356.238399999998</v>
      </c>
      <c r="S164" s="357">
        <v>25356</v>
      </c>
      <c r="T164" s="357">
        <v>25356</v>
      </c>
      <c r="U164" s="357">
        <v>25356</v>
      </c>
      <c r="X164" s="357"/>
      <c r="Y164" s="499"/>
    </row>
    <row r="165" spans="1:25">
      <c r="A165" s="349">
        <v>136</v>
      </c>
      <c r="B165" s="353" t="s">
        <v>155</v>
      </c>
      <c r="C165" s="349" t="s">
        <v>365</v>
      </c>
      <c r="D165" s="357">
        <v>7664</v>
      </c>
      <c r="E165" s="357">
        <v>6618</v>
      </c>
      <c r="F165" s="357">
        <v>7195</v>
      </c>
      <c r="G165" s="357">
        <v>6618</v>
      </c>
      <c r="H165" s="357">
        <v>6618</v>
      </c>
      <c r="I165" s="357">
        <v>6618</v>
      </c>
      <c r="J165" s="357">
        <v>7194.9952000000003</v>
      </c>
      <c r="K165" s="357">
        <v>7663.8063999999995</v>
      </c>
      <c r="L165" s="357">
        <v>7195</v>
      </c>
      <c r="M165" s="357">
        <v>7664</v>
      </c>
      <c r="N165" s="357">
        <v>7252</v>
      </c>
      <c r="O165" s="357">
        <v>8526</v>
      </c>
      <c r="P165" s="357">
        <v>8526</v>
      </c>
      <c r="Q165" s="357">
        <v>8526</v>
      </c>
      <c r="R165" s="357">
        <v>8526.0256000000008</v>
      </c>
      <c r="S165" s="357">
        <v>8526</v>
      </c>
      <c r="T165" s="357">
        <v>8526</v>
      </c>
      <c r="U165" s="357">
        <v>8526</v>
      </c>
      <c r="X165" s="357"/>
      <c r="Y165" s="499"/>
    </row>
    <row r="166" spans="1:25">
      <c r="A166" s="349">
        <v>137</v>
      </c>
      <c r="B166" s="353" t="s">
        <v>156</v>
      </c>
      <c r="C166" s="349" t="s">
        <v>365</v>
      </c>
      <c r="D166" s="357">
        <v>20080</v>
      </c>
      <c r="E166" s="357">
        <v>17650</v>
      </c>
      <c r="F166" s="357">
        <v>19124</v>
      </c>
      <c r="G166" s="357">
        <v>17650</v>
      </c>
      <c r="H166" s="357">
        <v>17650</v>
      </c>
      <c r="I166" s="357">
        <v>17650</v>
      </c>
      <c r="J166" s="357">
        <v>19185.196800000002</v>
      </c>
      <c r="K166" s="357">
        <v>19124</v>
      </c>
      <c r="L166" s="357">
        <v>19124</v>
      </c>
      <c r="M166" s="357">
        <v>20080</v>
      </c>
      <c r="N166" s="357">
        <v>19124</v>
      </c>
      <c r="O166" s="357">
        <v>22894</v>
      </c>
      <c r="P166" s="357">
        <v>22894</v>
      </c>
      <c r="Q166" s="357">
        <v>22894</v>
      </c>
      <c r="R166" s="357">
        <v>22894.16</v>
      </c>
      <c r="S166" s="357">
        <v>22894</v>
      </c>
      <c r="T166" s="357">
        <v>22894</v>
      </c>
      <c r="U166" s="357">
        <v>22894</v>
      </c>
      <c r="X166" s="357"/>
      <c r="Y166" s="499"/>
    </row>
    <row r="167" spans="1:25">
      <c r="A167" s="349">
        <v>138</v>
      </c>
      <c r="B167" s="353" t="s">
        <v>157</v>
      </c>
      <c r="C167" s="349" t="s">
        <v>365</v>
      </c>
      <c r="D167" s="357">
        <v>2720</v>
      </c>
      <c r="E167" s="357">
        <v>2707</v>
      </c>
      <c r="F167" s="357">
        <v>2720</v>
      </c>
      <c r="G167" s="357">
        <v>2707</v>
      </c>
      <c r="H167" s="357">
        <v>2707</v>
      </c>
      <c r="I167" s="357">
        <v>2707</v>
      </c>
      <c r="J167" s="357">
        <v>2719.9791999999998</v>
      </c>
      <c r="K167" s="357">
        <v>2719.9791999999998</v>
      </c>
      <c r="L167" s="357">
        <v>2720</v>
      </c>
      <c r="M167" s="357">
        <v>2720</v>
      </c>
      <c r="N167" s="357">
        <v>2720</v>
      </c>
      <c r="O167" s="357">
        <v>3128</v>
      </c>
      <c r="P167" s="357">
        <v>3128</v>
      </c>
      <c r="Q167" s="357">
        <v>3128</v>
      </c>
      <c r="R167" s="357">
        <v>3127.5936000000002</v>
      </c>
      <c r="S167" s="357">
        <v>3128</v>
      </c>
      <c r="T167" s="357">
        <v>3128</v>
      </c>
      <c r="U167" s="357">
        <v>3128</v>
      </c>
      <c r="X167" s="357"/>
      <c r="Y167" s="499"/>
    </row>
    <row r="168" spans="1:25">
      <c r="A168" s="349">
        <v>139</v>
      </c>
      <c r="B168" s="353" t="s">
        <v>158</v>
      </c>
      <c r="C168" s="349" t="s">
        <v>365</v>
      </c>
      <c r="D168" s="357">
        <v>8959</v>
      </c>
      <c r="E168" s="357">
        <v>8533</v>
      </c>
      <c r="F168" s="357">
        <v>8533</v>
      </c>
      <c r="G168" s="357">
        <v>8533</v>
      </c>
      <c r="H168" s="357">
        <v>8959</v>
      </c>
      <c r="I168" s="357">
        <v>8959</v>
      </c>
      <c r="J168" s="357">
        <v>9384.9663999999993</v>
      </c>
      <c r="K168" s="357">
        <v>8532.5823999999993</v>
      </c>
      <c r="L168" s="357">
        <v>8533</v>
      </c>
      <c r="M168" s="357">
        <v>8959</v>
      </c>
      <c r="N168" s="357">
        <v>8533</v>
      </c>
      <c r="O168" s="357">
        <v>10238</v>
      </c>
      <c r="P168" s="357">
        <v>10238</v>
      </c>
      <c r="Q168" s="357">
        <v>10238</v>
      </c>
      <c r="R168" s="357">
        <v>10238.4432</v>
      </c>
      <c r="S168" s="357">
        <v>10238</v>
      </c>
      <c r="T168" s="357">
        <v>10238</v>
      </c>
      <c r="U168" s="357">
        <v>10238</v>
      </c>
      <c r="X168" s="357"/>
      <c r="Y168" s="499"/>
    </row>
    <row r="169" spans="1:25">
      <c r="A169" s="349">
        <v>140</v>
      </c>
      <c r="B169" s="353" t="s">
        <v>159</v>
      </c>
      <c r="C169" s="349" t="s">
        <v>365</v>
      </c>
      <c r="D169" s="357">
        <v>12980</v>
      </c>
      <c r="E169" s="357">
        <v>12055</v>
      </c>
      <c r="F169" s="357">
        <v>12980</v>
      </c>
      <c r="G169" s="357">
        <v>12055</v>
      </c>
      <c r="H169" s="357">
        <v>12055</v>
      </c>
      <c r="I169" s="357">
        <v>12055</v>
      </c>
      <c r="J169" s="357">
        <v>12361.7536</v>
      </c>
      <c r="K169" s="357">
        <v>12980.278399999999</v>
      </c>
      <c r="L169" s="357">
        <v>12980</v>
      </c>
      <c r="M169" s="357">
        <v>12980</v>
      </c>
      <c r="N169" s="357">
        <v>12989</v>
      </c>
      <c r="O169" s="357">
        <v>15586</v>
      </c>
      <c r="P169" s="357">
        <v>15586</v>
      </c>
      <c r="Q169" s="357">
        <v>15586</v>
      </c>
      <c r="R169" s="357">
        <v>15585.5136</v>
      </c>
      <c r="S169" s="357">
        <v>15586</v>
      </c>
      <c r="T169" s="357">
        <v>15586</v>
      </c>
      <c r="U169" s="357">
        <v>15586</v>
      </c>
      <c r="X169" s="357"/>
      <c r="Y169" s="499"/>
    </row>
    <row r="170" spans="1:25">
      <c r="A170" s="349">
        <v>141</v>
      </c>
      <c r="B170" s="353" t="s">
        <v>160</v>
      </c>
      <c r="C170" s="349" t="s">
        <v>365</v>
      </c>
      <c r="D170" s="357">
        <v>1711</v>
      </c>
      <c r="E170" s="357">
        <v>1171</v>
      </c>
      <c r="F170" s="357">
        <v>1273</v>
      </c>
      <c r="G170" s="357">
        <v>1171</v>
      </c>
      <c r="H170" s="357">
        <v>1171</v>
      </c>
      <c r="I170" s="357">
        <v>1171</v>
      </c>
      <c r="J170" s="357">
        <v>1273.1120000000001</v>
      </c>
      <c r="K170" s="357">
        <v>1711.3247999999999</v>
      </c>
      <c r="L170" s="357">
        <v>1273</v>
      </c>
      <c r="M170" s="357">
        <v>1711</v>
      </c>
      <c r="N170" s="357">
        <v>1283</v>
      </c>
      <c r="O170" s="357">
        <v>1857</v>
      </c>
      <c r="P170" s="357">
        <v>1857</v>
      </c>
      <c r="Q170" s="357">
        <v>1857</v>
      </c>
      <c r="R170" s="357">
        <v>1856.6671999999999</v>
      </c>
      <c r="S170" s="357">
        <v>1857</v>
      </c>
      <c r="T170" s="357">
        <v>1857</v>
      </c>
      <c r="U170" s="357">
        <v>1857</v>
      </c>
      <c r="X170" s="357"/>
      <c r="Y170" s="499"/>
    </row>
    <row r="171" spans="1:25">
      <c r="A171" s="349">
        <v>142</v>
      </c>
      <c r="B171" s="353" t="s">
        <v>161</v>
      </c>
      <c r="C171" s="349" t="s">
        <v>365</v>
      </c>
      <c r="D171" s="357">
        <v>8702</v>
      </c>
      <c r="E171" s="357">
        <v>7711</v>
      </c>
      <c r="F171" s="357">
        <v>8382</v>
      </c>
      <c r="G171" s="357">
        <v>7711</v>
      </c>
      <c r="H171" s="357">
        <v>7711</v>
      </c>
      <c r="I171" s="357">
        <v>7711</v>
      </c>
      <c r="J171" s="357">
        <v>8381.7759999999998</v>
      </c>
      <c r="K171" s="357">
        <v>8701.9663999999993</v>
      </c>
      <c r="L171" s="357">
        <v>8382</v>
      </c>
      <c r="M171" s="357">
        <v>8702</v>
      </c>
      <c r="N171" s="357">
        <v>8448</v>
      </c>
      <c r="O171" s="357">
        <v>10007</v>
      </c>
      <c r="P171" s="357">
        <v>10007</v>
      </c>
      <c r="Q171" s="357">
        <v>10007</v>
      </c>
      <c r="R171" s="357">
        <v>10006.7696</v>
      </c>
      <c r="S171" s="357">
        <v>10007</v>
      </c>
      <c r="T171" s="357">
        <v>10007</v>
      </c>
      <c r="U171" s="357">
        <v>10007</v>
      </c>
      <c r="X171" s="357"/>
      <c r="Y171" s="499"/>
    </row>
    <row r="172" spans="1:25">
      <c r="A172" s="349">
        <v>143</v>
      </c>
      <c r="B172" s="353" t="s">
        <v>162</v>
      </c>
      <c r="C172" s="349" t="s">
        <v>365</v>
      </c>
      <c r="D172" s="357">
        <v>9770</v>
      </c>
      <c r="E172" s="357">
        <v>7711</v>
      </c>
      <c r="F172" s="357">
        <v>8382</v>
      </c>
      <c r="G172" s="357">
        <v>7711</v>
      </c>
      <c r="H172" s="357">
        <v>7711</v>
      </c>
      <c r="I172" s="357">
        <v>7711</v>
      </c>
      <c r="J172" s="357">
        <v>8381.7759999999998</v>
      </c>
      <c r="K172" s="357">
        <v>9303.0064000000002</v>
      </c>
      <c r="L172" s="357">
        <v>8382</v>
      </c>
      <c r="M172" s="357">
        <v>9770</v>
      </c>
      <c r="N172" s="357">
        <v>8448</v>
      </c>
      <c r="O172" s="357">
        <v>11164</v>
      </c>
      <c r="P172" s="357">
        <v>11164</v>
      </c>
      <c r="Q172" s="357">
        <v>11164</v>
      </c>
      <c r="R172" s="357">
        <v>11164.0448</v>
      </c>
      <c r="S172" s="357">
        <v>11164</v>
      </c>
      <c r="T172" s="357">
        <v>11164</v>
      </c>
      <c r="U172" s="357">
        <v>11164</v>
      </c>
      <c r="X172" s="357"/>
      <c r="Y172" s="499"/>
    </row>
    <row r="173" spans="1:25">
      <c r="A173" s="349">
        <v>144</v>
      </c>
      <c r="B173" s="353" t="s">
        <v>163</v>
      </c>
      <c r="C173" s="349" t="s">
        <v>365</v>
      </c>
      <c r="D173" s="357">
        <v>9881</v>
      </c>
      <c r="E173" s="357">
        <v>7711</v>
      </c>
      <c r="F173" s="357">
        <v>8382</v>
      </c>
      <c r="G173" s="357">
        <v>7711</v>
      </c>
      <c r="H173" s="357">
        <v>7711</v>
      </c>
      <c r="I173" s="357">
        <v>7711</v>
      </c>
      <c r="J173" s="357">
        <v>8381.7759999999998</v>
      </c>
      <c r="K173" s="357">
        <v>9881.0975999999991</v>
      </c>
      <c r="L173" s="357">
        <v>8382</v>
      </c>
      <c r="M173" s="357">
        <v>10220</v>
      </c>
      <c r="N173" s="357">
        <v>9881</v>
      </c>
      <c r="O173" s="357">
        <v>13201</v>
      </c>
      <c r="P173" s="357">
        <v>13201</v>
      </c>
      <c r="Q173" s="357">
        <v>13201</v>
      </c>
      <c r="R173" s="357">
        <v>13201.023999999999</v>
      </c>
      <c r="S173" s="357">
        <v>13201</v>
      </c>
      <c r="T173" s="357">
        <v>13201</v>
      </c>
      <c r="U173" s="357">
        <v>13201</v>
      </c>
      <c r="X173" s="357"/>
      <c r="Y173" s="499"/>
    </row>
    <row r="174" spans="1:25">
      <c r="A174" s="349">
        <v>145</v>
      </c>
      <c r="B174" s="353" t="s">
        <v>164</v>
      </c>
      <c r="C174" s="349" t="s">
        <v>365</v>
      </c>
      <c r="D174" s="357">
        <v>11809</v>
      </c>
      <c r="E174" s="357">
        <v>7711</v>
      </c>
      <c r="F174" s="357">
        <v>8382</v>
      </c>
      <c r="G174" s="357">
        <v>7711</v>
      </c>
      <c r="H174" s="357">
        <v>7711</v>
      </c>
      <c r="I174" s="357">
        <v>7711</v>
      </c>
      <c r="J174" s="357">
        <v>8381.7759999999998</v>
      </c>
      <c r="K174" s="357">
        <v>11247.097599999999</v>
      </c>
      <c r="L174" s="357">
        <v>8382</v>
      </c>
      <c r="M174" s="357">
        <v>11809</v>
      </c>
      <c r="N174" s="357">
        <v>11247</v>
      </c>
      <c r="O174" s="357">
        <v>13496</v>
      </c>
      <c r="P174" s="357">
        <v>13496</v>
      </c>
      <c r="Q174" s="357">
        <v>13496</v>
      </c>
      <c r="R174" s="357">
        <v>13496.08</v>
      </c>
      <c r="S174" s="357">
        <v>13496</v>
      </c>
      <c r="T174" s="357">
        <v>13496</v>
      </c>
      <c r="U174" s="357">
        <v>13496</v>
      </c>
      <c r="X174" s="357"/>
      <c r="Y174" s="499"/>
    </row>
    <row r="175" spans="1:25">
      <c r="A175" s="349">
        <v>146</v>
      </c>
      <c r="B175" s="353" t="s">
        <v>165</v>
      </c>
      <c r="C175" s="349" t="s">
        <v>365</v>
      </c>
      <c r="D175" s="357">
        <v>18355</v>
      </c>
      <c r="E175" s="357">
        <v>14181</v>
      </c>
      <c r="F175" s="357">
        <v>15415</v>
      </c>
      <c r="G175" s="357">
        <v>14181</v>
      </c>
      <c r="H175" s="357">
        <v>14181</v>
      </c>
      <c r="I175" s="357">
        <v>14181</v>
      </c>
      <c r="J175" s="357">
        <v>15415.0368</v>
      </c>
      <c r="K175" s="357">
        <v>17995.137599999998</v>
      </c>
      <c r="L175" s="357">
        <v>15415</v>
      </c>
      <c r="M175" s="357">
        <v>18355</v>
      </c>
      <c r="N175" s="357">
        <v>15539</v>
      </c>
      <c r="O175" s="357">
        <v>18355</v>
      </c>
      <c r="P175" s="357">
        <v>18355</v>
      </c>
      <c r="Q175" s="357">
        <v>18355</v>
      </c>
      <c r="R175" s="357">
        <v>18354.668799999999</v>
      </c>
      <c r="S175" s="357">
        <v>18355</v>
      </c>
      <c r="T175" s="357">
        <v>18355</v>
      </c>
      <c r="U175" s="357">
        <v>18355</v>
      </c>
      <c r="X175" s="357"/>
      <c r="Y175" s="499"/>
    </row>
    <row r="176" spans="1:25">
      <c r="A176" s="349">
        <v>147</v>
      </c>
      <c r="B176" s="353" t="s">
        <v>166</v>
      </c>
      <c r="C176" s="349" t="s">
        <v>365</v>
      </c>
      <c r="D176" s="357">
        <v>15699</v>
      </c>
      <c r="E176" s="357">
        <v>12146</v>
      </c>
      <c r="F176" s="357">
        <v>13202</v>
      </c>
      <c r="G176" s="357">
        <v>12146</v>
      </c>
      <c r="H176" s="357">
        <v>12146</v>
      </c>
      <c r="I176" s="357">
        <v>12146</v>
      </c>
      <c r="J176" s="357">
        <v>13202.1168</v>
      </c>
      <c r="K176" s="357">
        <v>15699.1648</v>
      </c>
      <c r="L176" s="357">
        <v>13202</v>
      </c>
      <c r="M176" s="357">
        <v>15699</v>
      </c>
      <c r="N176" s="357">
        <v>13308</v>
      </c>
      <c r="O176" s="357">
        <v>18054</v>
      </c>
      <c r="P176" s="357">
        <v>18054</v>
      </c>
      <c r="Q176" s="357">
        <v>18054</v>
      </c>
      <c r="R176" s="357">
        <v>18054.148799999999</v>
      </c>
      <c r="S176" s="357">
        <v>18054</v>
      </c>
      <c r="T176" s="357">
        <v>18054</v>
      </c>
      <c r="U176" s="357">
        <v>18054</v>
      </c>
      <c r="X176" s="357"/>
      <c r="Y176" s="499"/>
    </row>
    <row r="177" spans="1:25">
      <c r="A177" s="349">
        <v>148</v>
      </c>
      <c r="B177" s="353" t="s">
        <v>167</v>
      </c>
      <c r="C177" s="349" t="s">
        <v>365</v>
      </c>
      <c r="D177" s="357">
        <v>26267</v>
      </c>
      <c r="E177" s="357">
        <v>17980</v>
      </c>
      <c r="F177" s="357">
        <v>19544</v>
      </c>
      <c r="G177" s="357">
        <v>17980</v>
      </c>
      <c r="H177" s="357">
        <v>17980</v>
      </c>
      <c r="I177" s="357">
        <v>17980</v>
      </c>
      <c r="J177" s="357">
        <v>19543.635200000001</v>
      </c>
      <c r="K177" s="357">
        <v>25432.734400000001</v>
      </c>
      <c r="L177" s="357">
        <v>19544</v>
      </c>
      <c r="M177" s="357">
        <v>26267</v>
      </c>
      <c r="N177" s="357">
        <v>19700</v>
      </c>
      <c r="O177" s="357">
        <v>26617</v>
      </c>
      <c r="P177" s="357">
        <v>26617</v>
      </c>
      <c r="Q177" s="357">
        <v>26617</v>
      </c>
      <c r="R177" s="357">
        <v>26617.329600000001</v>
      </c>
      <c r="S177" s="357">
        <v>26617</v>
      </c>
      <c r="T177" s="357">
        <v>26617</v>
      </c>
      <c r="U177" s="357">
        <v>26617</v>
      </c>
      <c r="X177" s="357"/>
      <c r="Y177" s="499"/>
    </row>
    <row r="178" spans="1:25">
      <c r="A178" s="349">
        <v>149</v>
      </c>
      <c r="B178" s="353" t="s">
        <v>168</v>
      </c>
      <c r="C178" s="349" t="s">
        <v>365</v>
      </c>
      <c r="D178" s="357">
        <v>21936</v>
      </c>
      <c r="E178" s="357">
        <v>17980</v>
      </c>
      <c r="F178" s="357">
        <v>19544</v>
      </c>
      <c r="G178" s="357">
        <v>17980</v>
      </c>
      <c r="H178" s="357">
        <v>17980</v>
      </c>
      <c r="I178" s="357">
        <v>17980</v>
      </c>
      <c r="J178" s="357">
        <v>19543.635200000001</v>
      </c>
      <c r="K178" s="357">
        <v>21935.774399999998</v>
      </c>
      <c r="L178" s="357">
        <v>19544</v>
      </c>
      <c r="M178" s="357">
        <v>21936</v>
      </c>
      <c r="N178" s="357">
        <v>19700</v>
      </c>
      <c r="O178" s="357">
        <v>25226</v>
      </c>
      <c r="P178" s="357">
        <v>25226</v>
      </c>
      <c r="Q178" s="357">
        <v>25226</v>
      </c>
      <c r="R178" s="357">
        <v>25226.195199999998</v>
      </c>
      <c r="S178" s="357">
        <v>25226</v>
      </c>
      <c r="T178" s="357">
        <v>25226</v>
      </c>
      <c r="U178" s="357">
        <v>25226</v>
      </c>
      <c r="X178" s="357"/>
      <c r="Y178" s="499"/>
    </row>
    <row r="179" spans="1:25">
      <c r="A179" s="349">
        <v>150</v>
      </c>
      <c r="B179" s="353" t="s">
        <v>169</v>
      </c>
      <c r="C179" s="349" t="s">
        <v>365</v>
      </c>
      <c r="D179" s="357">
        <v>5381</v>
      </c>
      <c r="E179" s="357">
        <v>4538</v>
      </c>
      <c r="F179" s="357">
        <v>4932</v>
      </c>
      <c r="G179" s="357">
        <v>4538</v>
      </c>
      <c r="H179" s="357">
        <v>4538</v>
      </c>
      <c r="I179" s="357">
        <v>4538</v>
      </c>
      <c r="J179" s="357">
        <v>4931.8064000000004</v>
      </c>
      <c r="K179" s="357">
        <v>5125.232</v>
      </c>
      <c r="L179" s="357">
        <v>4932</v>
      </c>
      <c r="M179" s="357">
        <v>5381</v>
      </c>
      <c r="N179" s="357">
        <v>4972</v>
      </c>
      <c r="O179" s="357">
        <v>6150</v>
      </c>
      <c r="P179" s="357">
        <v>6150</v>
      </c>
      <c r="Q179" s="357">
        <v>6150</v>
      </c>
      <c r="R179" s="357">
        <v>6150.2784000000001</v>
      </c>
      <c r="S179" s="357">
        <v>6150</v>
      </c>
      <c r="T179" s="357">
        <v>6150</v>
      </c>
      <c r="U179" s="357">
        <v>6150</v>
      </c>
      <c r="X179" s="357"/>
      <c r="Y179" s="499"/>
    </row>
    <row r="180" spans="1:25">
      <c r="A180" s="349">
        <v>151</v>
      </c>
      <c r="B180" s="353" t="s">
        <v>170</v>
      </c>
      <c r="C180" s="349" t="s">
        <v>365</v>
      </c>
      <c r="D180" s="357">
        <v>6092</v>
      </c>
      <c r="E180" s="357">
        <v>5481</v>
      </c>
      <c r="F180" s="357">
        <v>5803</v>
      </c>
      <c r="G180" s="357">
        <v>5481</v>
      </c>
      <c r="H180" s="357">
        <v>5481</v>
      </c>
      <c r="I180" s="357">
        <v>5481</v>
      </c>
      <c r="J180" s="357">
        <v>5957.9456</v>
      </c>
      <c r="K180" s="357">
        <v>5802.768</v>
      </c>
      <c r="L180" s="357">
        <v>5803</v>
      </c>
      <c r="M180" s="357">
        <v>6092</v>
      </c>
      <c r="N180" s="357">
        <v>5803</v>
      </c>
      <c r="O180" s="357">
        <v>6962</v>
      </c>
      <c r="P180" s="357">
        <v>6962</v>
      </c>
      <c r="Q180" s="357">
        <v>6962</v>
      </c>
      <c r="R180" s="357">
        <v>6962.2287999999999</v>
      </c>
      <c r="S180" s="357">
        <v>6962</v>
      </c>
      <c r="T180" s="357">
        <v>6962</v>
      </c>
      <c r="U180" s="357">
        <v>6962</v>
      </c>
      <c r="X180" s="357"/>
      <c r="Y180" s="499"/>
    </row>
    <row r="181" spans="1:25">
      <c r="A181" s="349">
        <v>152</v>
      </c>
      <c r="B181" s="353" t="s">
        <v>171</v>
      </c>
      <c r="C181" s="349" t="s">
        <v>365</v>
      </c>
      <c r="D181" s="357">
        <v>1916</v>
      </c>
      <c r="E181" s="357">
        <v>1916</v>
      </c>
      <c r="F181" s="357">
        <v>1916</v>
      </c>
      <c r="G181" s="357">
        <v>1916</v>
      </c>
      <c r="H181" s="357">
        <v>1916</v>
      </c>
      <c r="I181" s="357">
        <v>1916</v>
      </c>
      <c r="J181" s="357">
        <v>1915.6784</v>
      </c>
      <c r="K181" s="357">
        <v>1915.6784</v>
      </c>
      <c r="L181" s="357">
        <v>1916</v>
      </c>
      <c r="M181" s="357">
        <v>1916</v>
      </c>
      <c r="N181" s="357">
        <v>1916</v>
      </c>
      <c r="O181" s="357">
        <v>2203</v>
      </c>
      <c r="P181" s="357">
        <v>2203</v>
      </c>
      <c r="Q181" s="357">
        <v>2203</v>
      </c>
      <c r="R181" s="357">
        <v>2203.0848000000001</v>
      </c>
      <c r="S181" s="357">
        <v>2203</v>
      </c>
      <c r="T181" s="357">
        <v>2203</v>
      </c>
      <c r="U181" s="357">
        <v>2203</v>
      </c>
      <c r="X181" s="357"/>
      <c r="Y181" s="499"/>
    </row>
    <row r="182" spans="1:25">
      <c r="A182" s="349">
        <v>153</v>
      </c>
      <c r="B182" s="353" t="s">
        <v>172</v>
      </c>
      <c r="C182" s="349" t="s">
        <v>365</v>
      </c>
      <c r="D182" s="357">
        <v>9271</v>
      </c>
      <c r="E182" s="357">
        <v>9271</v>
      </c>
      <c r="F182" s="357">
        <v>9271</v>
      </c>
      <c r="G182" s="357">
        <v>4821</v>
      </c>
      <c r="H182" s="357">
        <v>9271</v>
      </c>
      <c r="I182" s="357">
        <v>9271</v>
      </c>
      <c r="J182" s="357">
        <v>9271.3151999999991</v>
      </c>
      <c r="K182" s="357">
        <v>4821.4336000000003</v>
      </c>
      <c r="L182" s="357">
        <v>9271</v>
      </c>
      <c r="M182" s="357">
        <v>9271</v>
      </c>
      <c r="N182" s="357">
        <v>9271</v>
      </c>
      <c r="O182" s="357">
        <v>9271</v>
      </c>
      <c r="P182" s="357">
        <v>9271</v>
      </c>
      <c r="Q182" s="357">
        <v>9271</v>
      </c>
      <c r="R182" s="357">
        <v>9271.3151999999991</v>
      </c>
      <c r="S182" s="357">
        <v>9271</v>
      </c>
      <c r="T182" s="357">
        <v>9271</v>
      </c>
      <c r="U182" s="357">
        <v>9271</v>
      </c>
      <c r="X182" s="357"/>
      <c r="Y182" s="499"/>
    </row>
    <row r="183" spans="1:25">
      <c r="A183" s="349">
        <v>154</v>
      </c>
      <c r="B183" s="353" t="s">
        <v>173</v>
      </c>
      <c r="C183" s="349" t="s">
        <v>365</v>
      </c>
      <c r="D183" s="357">
        <v>2918</v>
      </c>
      <c r="E183" s="357">
        <v>2779</v>
      </c>
      <c r="F183" s="357">
        <v>2779</v>
      </c>
      <c r="G183" s="357">
        <v>2779</v>
      </c>
      <c r="H183" s="357">
        <v>2918</v>
      </c>
      <c r="I183" s="357">
        <v>2918</v>
      </c>
      <c r="J183" s="357">
        <v>3056.5616</v>
      </c>
      <c r="K183" s="357">
        <v>2778.9904000000001</v>
      </c>
      <c r="L183" s="357">
        <v>2779</v>
      </c>
      <c r="M183" s="357">
        <v>2918</v>
      </c>
      <c r="N183" s="357">
        <v>2779</v>
      </c>
      <c r="O183" s="357">
        <v>3334</v>
      </c>
      <c r="P183" s="357">
        <v>3334</v>
      </c>
      <c r="Q183" s="357">
        <v>3334</v>
      </c>
      <c r="R183" s="357">
        <v>3334.1327999999999</v>
      </c>
      <c r="S183" s="357">
        <v>3334</v>
      </c>
      <c r="T183" s="357">
        <v>3334</v>
      </c>
      <c r="U183" s="357">
        <v>3334</v>
      </c>
      <c r="X183" s="357"/>
      <c r="Y183" s="499"/>
    </row>
    <row r="184" spans="1:25">
      <c r="A184" s="349">
        <v>155</v>
      </c>
      <c r="B184" s="353" t="s">
        <v>174</v>
      </c>
      <c r="C184" s="349" t="s">
        <v>365</v>
      </c>
      <c r="D184" s="357">
        <v>4680</v>
      </c>
      <c r="E184" s="357">
        <v>4680</v>
      </c>
      <c r="F184" s="357">
        <v>4680</v>
      </c>
      <c r="G184" s="357">
        <v>4680</v>
      </c>
      <c r="H184" s="357">
        <v>4841</v>
      </c>
      <c r="I184" s="357">
        <v>4841</v>
      </c>
      <c r="J184" s="357">
        <v>4841.1040000000003</v>
      </c>
      <c r="K184" s="357">
        <v>4680.4624000000003</v>
      </c>
      <c r="L184" s="357">
        <v>4680</v>
      </c>
      <c r="M184" s="357">
        <v>4841</v>
      </c>
      <c r="N184" s="357">
        <v>4680</v>
      </c>
      <c r="O184" s="357">
        <v>5190</v>
      </c>
      <c r="P184" s="357">
        <v>5190</v>
      </c>
      <c r="Q184" s="357">
        <v>5190</v>
      </c>
      <c r="R184" s="357">
        <v>5189.7071999999998</v>
      </c>
      <c r="S184" s="357">
        <v>5190</v>
      </c>
      <c r="T184" s="357">
        <v>5190</v>
      </c>
      <c r="U184" s="357">
        <v>5190</v>
      </c>
      <c r="X184" s="357"/>
      <c r="Y184" s="499"/>
    </row>
    <row r="185" spans="1:25">
      <c r="A185" s="349">
        <v>156</v>
      </c>
      <c r="B185" s="353" t="s">
        <v>175</v>
      </c>
      <c r="C185" s="349" t="s">
        <v>365</v>
      </c>
      <c r="D185" s="357">
        <v>5342</v>
      </c>
      <c r="E185" s="357">
        <v>5342</v>
      </c>
      <c r="F185" s="357">
        <v>5342</v>
      </c>
      <c r="G185" s="357">
        <v>5342</v>
      </c>
      <c r="H185" s="357">
        <v>5524</v>
      </c>
      <c r="I185" s="357">
        <v>5524</v>
      </c>
      <c r="J185" s="357">
        <v>5524.1040000000003</v>
      </c>
      <c r="K185" s="357">
        <v>5341.6063999999997</v>
      </c>
      <c r="L185" s="357">
        <v>5342</v>
      </c>
      <c r="M185" s="357">
        <v>5524</v>
      </c>
      <c r="N185" s="357">
        <v>5342</v>
      </c>
      <c r="O185" s="357">
        <v>6352</v>
      </c>
      <c r="P185" s="357">
        <v>6352</v>
      </c>
      <c r="Q185" s="357">
        <v>6352</v>
      </c>
      <c r="R185" s="357">
        <v>6352.4463999999998</v>
      </c>
      <c r="S185" s="357">
        <v>6352</v>
      </c>
      <c r="T185" s="357">
        <v>6352</v>
      </c>
      <c r="U185" s="357">
        <v>6352</v>
      </c>
      <c r="X185" s="357"/>
      <c r="Y185" s="499"/>
    </row>
    <row r="186" spans="1:25">
      <c r="A186" s="349">
        <v>157</v>
      </c>
      <c r="B186" s="353" t="s">
        <v>176</v>
      </c>
      <c r="C186" s="349" t="s">
        <v>365</v>
      </c>
      <c r="D186" s="357">
        <v>7965</v>
      </c>
      <c r="E186" s="357">
        <v>7965</v>
      </c>
      <c r="F186" s="357">
        <v>7965</v>
      </c>
      <c r="G186" s="357">
        <v>7965</v>
      </c>
      <c r="H186" s="357">
        <v>7965</v>
      </c>
      <c r="I186" s="357">
        <v>7965</v>
      </c>
      <c r="J186" s="357">
        <v>7965.4192000000003</v>
      </c>
      <c r="K186" s="357">
        <v>7965.4192000000003</v>
      </c>
      <c r="L186" s="357">
        <v>7965</v>
      </c>
      <c r="M186" s="357">
        <v>7965</v>
      </c>
      <c r="N186" s="357">
        <v>7965</v>
      </c>
      <c r="O186" s="357">
        <v>7965</v>
      </c>
      <c r="P186" s="357">
        <v>7965</v>
      </c>
      <c r="Q186" s="357">
        <v>7965</v>
      </c>
      <c r="R186" s="357">
        <v>7965.4192000000003</v>
      </c>
      <c r="S186" s="357">
        <v>7965</v>
      </c>
      <c r="T186" s="357">
        <v>7965</v>
      </c>
      <c r="U186" s="357">
        <v>7965</v>
      </c>
      <c r="X186" s="357"/>
      <c r="Y186" s="499"/>
    </row>
    <row r="187" spans="1:25">
      <c r="A187" s="349">
        <v>158</v>
      </c>
      <c r="B187" s="353" t="s">
        <v>177</v>
      </c>
      <c r="C187" s="349" t="s">
        <v>365</v>
      </c>
      <c r="D187" s="357">
        <v>8139</v>
      </c>
      <c r="E187" s="357">
        <v>8139</v>
      </c>
      <c r="F187" s="357">
        <v>8139</v>
      </c>
      <c r="G187" s="357">
        <v>8139</v>
      </c>
      <c r="H187" s="357">
        <v>8418</v>
      </c>
      <c r="I187" s="357">
        <v>8418</v>
      </c>
      <c r="J187" s="357">
        <v>8417.8384000000005</v>
      </c>
      <c r="K187" s="357">
        <v>8139.1743999999999</v>
      </c>
      <c r="L187" s="357">
        <v>8139</v>
      </c>
      <c r="M187" s="357">
        <v>8418</v>
      </c>
      <c r="N187" s="357">
        <v>8139</v>
      </c>
      <c r="O187" s="357">
        <v>9986</v>
      </c>
      <c r="P187" s="357">
        <v>9986</v>
      </c>
      <c r="Q187" s="357">
        <v>9986</v>
      </c>
      <c r="R187" s="357">
        <v>9986.0064000000002</v>
      </c>
      <c r="S187" s="357">
        <v>9986</v>
      </c>
      <c r="T187" s="357">
        <v>9986</v>
      </c>
      <c r="U187" s="357">
        <v>9986</v>
      </c>
      <c r="X187" s="357"/>
      <c r="Y187" s="499"/>
    </row>
    <row r="188" spans="1:25">
      <c r="A188" s="349">
        <v>159</v>
      </c>
      <c r="B188" s="353" t="s">
        <v>178</v>
      </c>
      <c r="C188" s="349" t="s">
        <v>365</v>
      </c>
      <c r="D188" s="357">
        <v>2328</v>
      </c>
      <c r="E188" s="357">
        <v>2328</v>
      </c>
      <c r="F188" s="357">
        <v>2328</v>
      </c>
      <c r="G188" s="357">
        <v>2328</v>
      </c>
      <c r="H188" s="357">
        <v>2328</v>
      </c>
      <c r="I188" s="357">
        <v>2328</v>
      </c>
      <c r="J188" s="357">
        <v>2327.6639999999998</v>
      </c>
      <c r="K188" s="357">
        <v>2327.6639999999998</v>
      </c>
      <c r="L188" s="357">
        <v>2328</v>
      </c>
      <c r="M188" s="357">
        <v>2328</v>
      </c>
      <c r="N188" s="357">
        <v>2457</v>
      </c>
      <c r="O188" s="357">
        <v>2328</v>
      </c>
      <c r="P188" s="357">
        <v>2641</v>
      </c>
      <c r="Q188" s="357">
        <v>2641</v>
      </c>
      <c r="R188" s="357">
        <v>2641.2975999999999</v>
      </c>
      <c r="S188" s="357">
        <v>2641</v>
      </c>
      <c r="T188" s="357">
        <v>2641</v>
      </c>
      <c r="U188" s="357">
        <v>2641</v>
      </c>
      <c r="X188" s="357"/>
      <c r="Y188" s="499"/>
    </row>
    <row r="189" spans="1:25">
      <c r="A189" s="349">
        <v>160</v>
      </c>
      <c r="B189" s="353" t="s">
        <v>179</v>
      </c>
      <c r="C189" s="349" t="s">
        <v>365</v>
      </c>
      <c r="D189" s="357">
        <v>2005</v>
      </c>
      <c r="E189" s="357">
        <v>1671</v>
      </c>
      <c r="F189" s="357">
        <v>1817</v>
      </c>
      <c r="G189" s="357">
        <v>1671</v>
      </c>
      <c r="H189" s="357">
        <v>1671</v>
      </c>
      <c r="I189" s="357">
        <v>1671</v>
      </c>
      <c r="J189" s="357">
        <v>1817.3263999999999</v>
      </c>
      <c r="K189" s="357">
        <v>1910.2144000000001</v>
      </c>
      <c r="L189" s="357">
        <v>1817</v>
      </c>
      <c r="M189" s="357">
        <v>2005</v>
      </c>
      <c r="N189" s="357">
        <v>1832</v>
      </c>
      <c r="O189" s="357">
        <v>2292</v>
      </c>
      <c r="P189" s="357">
        <v>2292</v>
      </c>
      <c r="Q189" s="357">
        <v>2292</v>
      </c>
      <c r="R189" s="357">
        <v>2291.6016</v>
      </c>
      <c r="S189" s="357">
        <v>2292</v>
      </c>
      <c r="T189" s="357">
        <v>2292</v>
      </c>
      <c r="U189" s="357">
        <v>2292</v>
      </c>
      <c r="X189" s="357"/>
      <c r="Y189" s="499"/>
    </row>
    <row r="190" spans="1:25">
      <c r="A190" s="349">
        <v>161</v>
      </c>
      <c r="B190" s="353" t="s">
        <v>180</v>
      </c>
      <c r="C190" s="349" t="s">
        <v>365</v>
      </c>
      <c r="D190" s="357">
        <v>2472</v>
      </c>
      <c r="E190" s="357">
        <v>2472</v>
      </c>
      <c r="F190" s="357">
        <v>2472</v>
      </c>
      <c r="G190" s="357">
        <v>2472</v>
      </c>
      <c r="H190" s="357">
        <v>2472</v>
      </c>
      <c r="I190" s="357">
        <v>2472</v>
      </c>
      <c r="J190" s="357">
        <v>2471.9135999999999</v>
      </c>
      <c r="K190" s="357">
        <v>2471.9135999999999</v>
      </c>
      <c r="L190" s="357">
        <v>2472</v>
      </c>
      <c r="M190" s="357">
        <v>2472</v>
      </c>
      <c r="N190" s="357">
        <v>2472</v>
      </c>
      <c r="O190" s="357">
        <v>2843</v>
      </c>
      <c r="P190" s="357">
        <v>2843</v>
      </c>
      <c r="Q190" s="357">
        <v>2843</v>
      </c>
      <c r="R190" s="357">
        <v>2843.4656</v>
      </c>
      <c r="S190" s="357">
        <v>2843</v>
      </c>
      <c r="T190" s="357">
        <v>2843</v>
      </c>
      <c r="U190" s="357">
        <v>2843</v>
      </c>
      <c r="X190" s="357"/>
      <c r="Y190" s="499"/>
    </row>
    <row r="191" spans="1:25">
      <c r="A191" s="349">
        <v>162</v>
      </c>
      <c r="B191" s="353" t="s">
        <v>181</v>
      </c>
      <c r="C191" s="349" t="s">
        <v>365</v>
      </c>
      <c r="D191" s="357">
        <v>2472</v>
      </c>
      <c r="E191" s="357">
        <v>2472</v>
      </c>
      <c r="F191" s="357">
        <v>2472</v>
      </c>
      <c r="G191" s="357">
        <v>2472</v>
      </c>
      <c r="H191" s="357">
        <v>2472</v>
      </c>
      <c r="I191" s="357">
        <v>2472</v>
      </c>
      <c r="J191" s="357">
        <v>2471.9135999999999</v>
      </c>
      <c r="K191" s="357">
        <v>2471.9135999999999</v>
      </c>
      <c r="L191" s="357">
        <v>2472</v>
      </c>
      <c r="M191" s="357">
        <v>2472</v>
      </c>
      <c r="N191" s="357">
        <v>2472</v>
      </c>
      <c r="O191" s="357">
        <v>2843</v>
      </c>
      <c r="P191" s="357">
        <v>2843</v>
      </c>
      <c r="Q191" s="357">
        <v>2843</v>
      </c>
      <c r="R191" s="357">
        <v>2843.4656</v>
      </c>
      <c r="S191" s="357">
        <v>2843</v>
      </c>
      <c r="T191" s="357">
        <v>2843</v>
      </c>
      <c r="U191" s="357">
        <v>2843</v>
      </c>
      <c r="X191" s="357"/>
      <c r="Y191" s="499"/>
    </row>
    <row r="192" spans="1:25">
      <c r="A192" s="349">
        <v>163</v>
      </c>
      <c r="B192" s="353" t="s">
        <v>182</v>
      </c>
      <c r="C192" s="349" t="s">
        <v>365</v>
      </c>
      <c r="D192" s="357">
        <v>2472</v>
      </c>
      <c r="E192" s="357">
        <v>2472</v>
      </c>
      <c r="F192" s="357">
        <v>2472</v>
      </c>
      <c r="G192" s="357">
        <v>2472</v>
      </c>
      <c r="H192" s="357">
        <v>2472</v>
      </c>
      <c r="I192" s="357">
        <v>2472</v>
      </c>
      <c r="J192" s="357">
        <v>2471.9135999999999</v>
      </c>
      <c r="K192" s="357">
        <v>2471.9135999999999</v>
      </c>
      <c r="L192" s="357">
        <v>2472</v>
      </c>
      <c r="M192" s="357">
        <v>2472</v>
      </c>
      <c r="N192" s="357">
        <v>2472</v>
      </c>
      <c r="O192" s="357">
        <v>2843</v>
      </c>
      <c r="P192" s="357">
        <v>2843</v>
      </c>
      <c r="Q192" s="357">
        <v>2843</v>
      </c>
      <c r="R192" s="357">
        <v>2843.4656</v>
      </c>
      <c r="S192" s="357">
        <v>2843</v>
      </c>
      <c r="T192" s="357">
        <v>2843</v>
      </c>
      <c r="U192" s="357">
        <v>2843</v>
      </c>
      <c r="X192" s="357"/>
      <c r="Y192" s="499"/>
    </row>
    <row r="193" spans="1:25">
      <c r="A193" s="349">
        <v>164</v>
      </c>
      <c r="B193" s="353" t="s">
        <v>183</v>
      </c>
      <c r="C193" s="349" t="s">
        <v>365</v>
      </c>
      <c r="D193" s="357">
        <v>1534</v>
      </c>
      <c r="E193" s="357">
        <v>1534</v>
      </c>
      <c r="F193" s="357">
        <v>1534</v>
      </c>
      <c r="G193" s="357">
        <v>1534</v>
      </c>
      <c r="H193" s="357">
        <v>1587</v>
      </c>
      <c r="I193" s="357">
        <v>1587</v>
      </c>
      <c r="J193" s="357">
        <v>1586.7456</v>
      </c>
      <c r="K193" s="357">
        <v>1534.2912000000001</v>
      </c>
      <c r="L193" s="357">
        <v>1534</v>
      </c>
      <c r="M193" s="357">
        <v>1587</v>
      </c>
      <c r="N193" s="357">
        <v>1534</v>
      </c>
      <c r="O193" s="357">
        <v>4747</v>
      </c>
      <c r="P193" s="357">
        <v>4747</v>
      </c>
      <c r="Q193" s="357">
        <v>4747</v>
      </c>
      <c r="R193" s="357">
        <v>4747.1232</v>
      </c>
      <c r="S193" s="357">
        <v>4747</v>
      </c>
      <c r="T193" s="357">
        <v>4747</v>
      </c>
      <c r="U193" s="357">
        <v>4747</v>
      </c>
      <c r="X193" s="357"/>
      <c r="Y193" s="499"/>
    </row>
    <row r="194" spans="1:25">
      <c r="A194" s="349">
        <v>165</v>
      </c>
      <c r="B194" s="353" t="s">
        <v>184</v>
      </c>
      <c r="C194" s="349" t="s">
        <v>365</v>
      </c>
      <c r="D194" s="357">
        <v>11044</v>
      </c>
      <c r="E194" s="357">
        <v>10518</v>
      </c>
      <c r="F194" s="357">
        <v>10518</v>
      </c>
      <c r="G194" s="357">
        <v>10518</v>
      </c>
      <c r="H194" s="357">
        <v>11044</v>
      </c>
      <c r="I194" s="357">
        <v>11044</v>
      </c>
      <c r="J194" s="357">
        <v>9889.84</v>
      </c>
      <c r="K194" s="357">
        <v>10518.2</v>
      </c>
      <c r="L194" s="357">
        <v>10518</v>
      </c>
      <c r="M194" s="357">
        <v>11044</v>
      </c>
      <c r="N194" s="357">
        <v>10518</v>
      </c>
      <c r="O194" s="357">
        <v>12622</v>
      </c>
      <c r="P194" s="357">
        <v>12622</v>
      </c>
      <c r="Q194" s="357">
        <v>12622</v>
      </c>
      <c r="R194" s="357">
        <v>12621.84</v>
      </c>
      <c r="S194" s="357">
        <v>12622</v>
      </c>
      <c r="T194" s="357">
        <v>12622</v>
      </c>
      <c r="U194" s="357">
        <v>12622</v>
      </c>
      <c r="X194" s="357"/>
      <c r="Y194" s="499"/>
    </row>
    <row r="195" spans="1:25">
      <c r="A195" s="349">
        <v>166</v>
      </c>
      <c r="B195" s="353" t="s">
        <v>185</v>
      </c>
      <c r="C195" s="349" t="s">
        <v>365</v>
      </c>
      <c r="D195" s="357">
        <v>15823</v>
      </c>
      <c r="E195" s="357">
        <v>15823</v>
      </c>
      <c r="F195" s="357">
        <v>15823</v>
      </c>
      <c r="G195" s="357">
        <v>15823</v>
      </c>
      <c r="H195" s="357">
        <v>15823</v>
      </c>
      <c r="I195" s="357">
        <v>15823</v>
      </c>
      <c r="J195" s="357">
        <v>15822.6512</v>
      </c>
      <c r="K195" s="357">
        <v>15822.6512</v>
      </c>
      <c r="L195" s="357">
        <v>15823</v>
      </c>
      <c r="M195" s="357">
        <v>15823</v>
      </c>
      <c r="N195" s="357">
        <v>15823</v>
      </c>
      <c r="O195" s="357">
        <v>18196</v>
      </c>
      <c r="P195" s="357">
        <v>18196</v>
      </c>
      <c r="Q195" s="357">
        <v>18196</v>
      </c>
      <c r="R195" s="357">
        <v>18196.212800000001</v>
      </c>
      <c r="S195" s="357">
        <v>18196</v>
      </c>
      <c r="T195" s="357">
        <v>18196</v>
      </c>
      <c r="U195" s="357">
        <v>18196</v>
      </c>
      <c r="X195" s="357"/>
      <c r="Y195" s="499"/>
    </row>
    <row r="196" spans="1:25">
      <c r="A196" s="349">
        <v>167</v>
      </c>
      <c r="B196" s="353" t="s">
        <v>186</v>
      </c>
      <c r="C196" s="349" t="s">
        <v>365</v>
      </c>
      <c r="D196" s="357">
        <v>4229</v>
      </c>
      <c r="E196" s="357">
        <v>4229</v>
      </c>
      <c r="F196" s="357">
        <v>4229</v>
      </c>
      <c r="G196" s="357">
        <v>4229</v>
      </c>
      <c r="H196" s="357">
        <v>4229</v>
      </c>
      <c r="I196" s="357">
        <v>4229</v>
      </c>
      <c r="J196" s="357">
        <v>4229.1360000000004</v>
      </c>
      <c r="K196" s="357">
        <v>4229.1360000000004</v>
      </c>
      <c r="L196" s="357">
        <v>4229</v>
      </c>
      <c r="M196" s="357">
        <v>4229</v>
      </c>
      <c r="N196" s="357">
        <v>4229</v>
      </c>
      <c r="O196" s="357">
        <v>5286</v>
      </c>
      <c r="P196" s="357">
        <v>5286</v>
      </c>
      <c r="Q196" s="357">
        <v>5286</v>
      </c>
      <c r="R196" s="357">
        <v>5285.8735999999999</v>
      </c>
      <c r="S196" s="357">
        <v>5286</v>
      </c>
      <c r="T196" s="357">
        <v>5286</v>
      </c>
      <c r="U196" s="357">
        <v>5286</v>
      </c>
      <c r="X196" s="357"/>
      <c r="Y196" s="499"/>
    </row>
    <row r="197" spans="1:25">
      <c r="A197" s="349">
        <v>168</v>
      </c>
      <c r="B197" s="353" t="s">
        <v>187</v>
      </c>
      <c r="C197" s="349" t="s">
        <v>365</v>
      </c>
      <c r="D197" s="357">
        <v>29885</v>
      </c>
      <c r="E197" s="357">
        <v>25884</v>
      </c>
      <c r="F197" s="357">
        <v>28135</v>
      </c>
      <c r="G197" s="357">
        <v>25884</v>
      </c>
      <c r="H197" s="357">
        <v>25884</v>
      </c>
      <c r="I197" s="357">
        <v>25884</v>
      </c>
      <c r="J197" s="357">
        <v>28135.228800000001</v>
      </c>
      <c r="K197" s="357">
        <v>29884.801599999999</v>
      </c>
      <c r="L197" s="357">
        <v>28135</v>
      </c>
      <c r="M197" s="357">
        <v>30910</v>
      </c>
      <c r="N197" s="357">
        <v>28360</v>
      </c>
      <c r="O197" s="357">
        <v>33676</v>
      </c>
      <c r="P197" s="357">
        <v>37859</v>
      </c>
      <c r="Q197" s="357">
        <v>37859</v>
      </c>
      <c r="R197" s="357">
        <v>37858.963199999998</v>
      </c>
      <c r="S197" s="357">
        <v>37859</v>
      </c>
      <c r="T197" s="357">
        <v>37859</v>
      </c>
      <c r="U197" s="357">
        <v>37859</v>
      </c>
      <c r="X197" s="357"/>
      <c r="Y197" s="499"/>
    </row>
    <row r="198" spans="1:25">
      <c r="A198" s="349">
        <v>169</v>
      </c>
      <c r="B198" s="353" t="s">
        <v>188</v>
      </c>
      <c r="C198" s="349" t="s">
        <v>365</v>
      </c>
      <c r="D198" s="357">
        <v>7314</v>
      </c>
      <c r="E198" s="357">
        <v>7314</v>
      </c>
      <c r="F198" s="357">
        <v>7314</v>
      </c>
      <c r="G198" s="357">
        <v>7314</v>
      </c>
      <c r="H198" s="357">
        <v>7314</v>
      </c>
      <c r="I198" s="357">
        <v>7314</v>
      </c>
      <c r="J198" s="357">
        <v>7314.1103999999996</v>
      </c>
      <c r="K198" s="357">
        <v>7314.1103999999996</v>
      </c>
      <c r="L198" s="357">
        <v>7314</v>
      </c>
      <c r="M198" s="357">
        <v>7314</v>
      </c>
      <c r="N198" s="357">
        <v>7314</v>
      </c>
      <c r="O198" s="357">
        <v>7314</v>
      </c>
      <c r="P198" s="357">
        <v>7314</v>
      </c>
      <c r="Q198" s="357">
        <v>7314</v>
      </c>
      <c r="R198" s="357">
        <v>7314.1103999999996</v>
      </c>
      <c r="S198" s="357">
        <v>7314</v>
      </c>
      <c r="T198" s="357">
        <v>7314</v>
      </c>
      <c r="U198" s="357">
        <v>7314</v>
      </c>
      <c r="X198" s="357"/>
      <c r="Y198" s="499"/>
    </row>
    <row r="199" spans="1:25">
      <c r="A199" s="349">
        <v>170</v>
      </c>
      <c r="B199" s="353" t="s">
        <v>189</v>
      </c>
      <c r="C199" s="349" t="s">
        <v>365</v>
      </c>
      <c r="D199" s="357">
        <v>13884</v>
      </c>
      <c r="E199" s="357">
        <v>13884</v>
      </c>
      <c r="F199" s="357">
        <v>13884</v>
      </c>
      <c r="G199" s="357">
        <v>13884</v>
      </c>
      <c r="H199" s="357">
        <v>14359</v>
      </c>
      <c r="I199" s="357">
        <v>14359</v>
      </c>
      <c r="J199" s="357">
        <v>14359.392</v>
      </c>
      <c r="K199" s="357">
        <v>13884.023999999999</v>
      </c>
      <c r="L199" s="357">
        <v>13884</v>
      </c>
      <c r="M199" s="357">
        <v>14359</v>
      </c>
      <c r="N199" s="357">
        <v>13884</v>
      </c>
      <c r="O199" s="357">
        <v>18722</v>
      </c>
      <c r="P199" s="357">
        <v>19115</v>
      </c>
      <c r="Q199" s="357">
        <v>19115</v>
      </c>
      <c r="R199" s="357">
        <v>19115.257600000001</v>
      </c>
      <c r="S199" s="357">
        <v>19115</v>
      </c>
      <c r="T199" s="357">
        <v>19115</v>
      </c>
      <c r="U199" s="357">
        <v>19115</v>
      </c>
      <c r="X199" s="357"/>
      <c r="Y199" s="499"/>
    </row>
    <row r="200" spans="1:25">
      <c r="A200" s="349">
        <v>171</v>
      </c>
      <c r="B200" s="353" t="s">
        <v>190</v>
      </c>
      <c r="C200" s="349" t="s">
        <v>365</v>
      </c>
      <c r="D200" s="357">
        <v>17708</v>
      </c>
      <c r="E200" s="357">
        <v>17708</v>
      </c>
      <c r="F200" s="357">
        <v>17708</v>
      </c>
      <c r="G200" s="357">
        <v>17708</v>
      </c>
      <c r="H200" s="357">
        <v>18315</v>
      </c>
      <c r="I200" s="357">
        <v>18315</v>
      </c>
      <c r="J200" s="357">
        <v>18315.328000000001</v>
      </c>
      <c r="K200" s="357">
        <v>17707.731199999998</v>
      </c>
      <c r="L200" s="357">
        <v>17708</v>
      </c>
      <c r="M200" s="357">
        <v>18315</v>
      </c>
      <c r="N200" s="357">
        <v>17708</v>
      </c>
      <c r="O200" s="357">
        <v>20626</v>
      </c>
      <c r="P200" s="357">
        <v>20626</v>
      </c>
      <c r="Q200" s="357">
        <v>20626</v>
      </c>
      <c r="R200" s="357">
        <v>20625.5072</v>
      </c>
      <c r="S200" s="357">
        <v>20626</v>
      </c>
      <c r="T200" s="357">
        <v>20626</v>
      </c>
      <c r="U200" s="357">
        <v>20626</v>
      </c>
      <c r="X200" s="357"/>
      <c r="Y200" s="499"/>
    </row>
    <row r="201" spans="1:25">
      <c r="A201" s="349">
        <v>172</v>
      </c>
      <c r="B201" s="353" t="s">
        <v>191</v>
      </c>
      <c r="C201" s="349" t="s">
        <v>365</v>
      </c>
      <c r="D201" s="357">
        <v>3709</v>
      </c>
      <c r="E201" s="357">
        <v>3709</v>
      </c>
      <c r="F201" s="357">
        <v>3709</v>
      </c>
      <c r="G201" s="357">
        <v>3709</v>
      </c>
      <c r="H201" s="357">
        <v>3709</v>
      </c>
      <c r="I201" s="357">
        <v>3709</v>
      </c>
      <c r="J201" s="357">
        <v>3708.9632000000001</v>
      </c>
      <c r="K201" s="357">
        <v>3708.9632000000001</v>
      </c>
      <c r="L201" s="357">
        <v>3709</v>
      </c>
      <c r="M201" s="357">
        <v>3709</v>
      </c>
      <c r="N201" s="357">
        <v>3709</v>
      </c>
      <c r="O201" s="357">
        <v>4265</v>
      </c>
      <c r="P201" s="357">
        <v>4265</v>
      </c>
      <c r="Q201" s="357">
        <v>4265</v>
      </c>
      <c r="R201" s="357">
        <v>4265.1984000000002</v>
      </c>
      <c r="S201" s="357">
        <v>4265</v>
      </c>
      <c r="T201" s="357">
        <v>4265</v>
      </c>
      <c r="U201" s="357">
        <v>4265</v>
      </c>
      <c r="X201" s="357"/>
      <c r="Y201" s="499"/>
    </row>
    <row r="202" spans="1:25">
      <c r="A202" s="349">
        <v>173</v>
      </c>
      <c r="B202" s="353" t="s">
        <v>192</v>
      </c>
      <c r="C202" s="349" t="s">
        <v>365</v>
      </c>
      <c r="D202" s="357">
        <v>18722</v>
      </c>
      <c r="E202" s="357">
        <v>16071</v>
      </c>
      <c r="F202" s="357">
        <v>16071</v>
      </c>
      <c r="G202" s="357">
        <v>18722</v>
      </c>
      <c r="H202" s="357">
        <v>16071</v>
      </c>
      <c r="I202" s="357">
        <v>18722</v>
      </c>
      <c r="J202" s="357">
        <v>18721.849600000001</v>
      </c>
      <c r="K202" s="357">
        <v>18721.849600000001</v>
      </c>
      <c r="L202" s="357">
        <v>18722</v>
      </c>
      <c r="M202" s="357">
        <v>18722</v>
      </c>
      <c r="N202" s="357">
        <v>25008</v>
      </c>
      <c r="O202" s="357">
        <v>18722</v>
      </c>
      <c r="P202" s="357">
        <v>34613</v>
      </c>
      <c r="Q202" s="357">
        <v>34613</v>
      </c>
      <c r="R202" s="357">
        <v>34613.347199999997</v>
      </c>
      <c r="S202" s="357">
        <v>34613</v>
      </c>
      <c r="T202" s="357">
        <v>34613</v>
      </c>
      <c r="U202" s="357">
        <v>34613</v>
      </c>
      <c r="X202" s="357"/>
      <c r="Y202" s="499"/>
    </row>
    <row r="203" spans="1:25">
      <c r="A203" s="349">
        <v>174</v>
      </c>
      <c r="B203" s="353" t="s">
        <v>193</v>
      </c>
      <c r="C203" s="349" t="s">
        <v>365</v>
      </c>
      <c r="D203" s="357">
        <v>13683</v>
      </c>
      <c r="E203" s="357">
        <v>11419</v>
      </c>
      <c r="F203" s="357">
        <v>12411</v>
      </c>
      <c r="G203" s="357">
        <v>10491</v>
      </c>
      <c r="H203" s="357">
        <v>10376</v>
      </c>
      <c r="I203" s="357">
        <v>11419</v>
      </c>
      <c r="J203" s="357">
        <v>12410.929599999999</v>
      </c>
      <c r="K203" s="357">
        <v>13682.9488</v>
      </c>
      <c r="L203" s="357">
        <v>11403</v>
      </c>
      <c r="M203" s="357">
        <v>13683</v>
      </c>
      <c r="N203" s="357">
        <v>10262</v>
      </c>
      <c r="O203" s="357">
        <v>16719</v>
      </c>
      <c r="P203" s="357">
        <v>16719</v>
      </c>
      <c r="Q203" s="357">
        <v>16719</v>
      </c>
      <c r="R203" s="357">
        <v>16718.747199999998</v>
      </c>
      <c r="S203" s="357">
        <v>16719</v>
      </c>
      <c r="T203" s="357">
        <v>16719</v>
      </c>
      <c r="U203" s="357">
        <v>16719</v>
      </c>
      <c r="X203" s="357"/>
      <c r="Y203" s="499"/>
    </row>
    <row r="204" spans="1:25">
      <c r="A204" s="349">
        <v>175</v>
      </c>
      <c r="B204" s="353" t="s">
        <v>194</v>
      </c>
      <c r="C204" s="349" t="s">
        <v>365</v>
      </c>
      <c r="D204" s="357">
        <v>7977</v>
      </c>
      <c r="E204" s="357">
        <v>6220</v>
      </c>
      <c r="F204" s="357">
        <v>6762</v>
      </c>
      <c r="G204" s="357">
        <v>6220</v>
      </c>
      <c r="H204" s="357">
        <v>6220</v>
      </c>
      <c r="I204" s="357">
        <v>6220</v>
      </c>
      <c r="J204" s="357">
        <v>6762.2464</v>
      </c>
      <c r="K204" s="357">
        <v>7977.44</v>
      </c>
      <c r="L204" s="357">
        <v>6762</v>
      </c>
      <c r="M204" s="357">
        <v>8251</v>
      </c>
      <c r="N204" s="357">
        <v>6816</v>
      </c>
      <c r="O204" s="357">
        <v>9265</v>
      </c>
      <c r="P204" s="357">
        <v>9265</v>
      </c>
      <c r="Q204" s="357">
        <v>9265</v>
      </c>
      <c r="R204" s="357">
        <v>9264.7584000000006</v>
      </c>
      <c r="S204" s="357">
        <v>9265</v>
      </c>
      <c r="T204" s="357">
        <v>9265</v>
      </c>
      <c r="U204" s="357">
        <v>9265</v>
      </c>
      <c r="X204" s="357"/>
      <c r="Y204" s="499"/>
    </row>
    <row r="205" spans="1:25">
      <c r="A205" s="349">
        <v>176</v>
      </c>
      <c r="B205" s="353" t="s">
        <v>195</v>
      </c>
      <c r="C205" s="349" t="s">
        <v>365</v>
      </c>
      <c r="D205" s="357">
        <v>2988</v>
      </c>
      <c r="E205" s="357">
        <v>2988</v>
      </c>
      <c r="F205" s="357">
        <v>2988</v>
      </c>
      <c r="G205" s="357">
        <v>2988</v>
      </c>
      <c r="H205" s="357">
        <v>2988</v>
      </c>
      <c r="I205" s="357">
        <v>2988</v>
      </c>
      <c r="J205" s="357">
        <v>2987.7152000000001</v>
      </c>
      <c r="K205" s="357">
        <v>2987.7152000000001</v>
      </c>
      <c r="L205" s="357">
        <v>2988</v>
      </c>
      <c r="M205" s="357">
        <v>2988</v>
      </c>
      <c r="N205" s="357">
        <v>2988</v>
      </c>
      <c r="O205" s="357">
        <v>2988</v>
      </c>
      <c r="P205" s="357">
        <v>2988</v>
      </c>
      <c r="Q205" s="357">
        <v>2988</v>
      </c>
      <c r="R205" s="357">
        <v>2987.7152000000001</v>
      </c>
      <c r="S205" s="357">
        <v>2988</v>
      </c>
      <c r="T205" s="357">
        <v>2988</v>
      </c>
      <c r="U205" s="357">
        <v>2988</v>
      </c>
      <c r="X205" s="357"/>
      <c r="Y205" s="499"/>
    </row>
    <row r="206" spans="1:25">
      <c r="A206" s="349">
        <v>177</v>
      </c>
      <c r="B206" s="353" t="s">
        <v>196</v>
      </c>
      <c r="C206" s="349" t="s">
        <v>365</v>
      </c>
      <c r="D206" s="357">
        <v>2913</v>
      </c>
      <c r="E206" s="357">
        <v>2446</v>
      </c>
      <c r="F206" s="357">
        <v>2658</v>
      </c>
      <c r="G206" s="357">
        <v>2333</v>
      </c>
      <c r="H206" s="357">
        <v>2308</v>
      </c>
      <c r="I206" s="357">
        <v>2446</v>
      </c>
      <c r="J206" s="357">
        <v>2657.6896000000002</v>
      </c>
      <c r="K206" s="357">
        <v>2773.5264000000002</v>
      </c>
      <c r="L206" s="357">
        <v>2536</v>
      </c>
      <c r="M206" s="357">
        <v>2913</v>
      </c>
      <c r="N206" s="357">
        <v>2283</v>
      </c>
      <c r="O206" s="357">
        <v>3329</v>
      </c>
      <c r="P206" s="357">
        <v>3329</v>
      </c>
      <c r="Q206" s="357">
        <v>3329</v>
      </c>
      <c r="R206" s="357">
        <v>3328.6687999999999</v>
      </c>
      <c r="S206" s="357">
        <v>3329</v>
      </c>
      <c r="T206" s="357">
        <v>3329</v>
      </c>
      <c r="U206" s="357">
        <v>3329</v>
      </c>
      <c r="X206" s="357"/>
      <c r="Y206" s="499"/>
    </row>
    <row r="207" spans="1:25">
      <c r="A207" s="349">
        <v>178</v>
      </c>
      <c r="B207" s="353" t="s">
        <v>197</v>
      </c>
      <c r="C207" s="349" t="s">
        <v>365</v>
      </c>
      <c r="D207" s="357">
        <v>2913</v>
      </c>
      <c r="E207" s="357">
        <v>2446</v>
      </c>
      <c r="F207" s="357">
        <v>2658</v>
      </c>
      <c r="G207" s="357">
        <v>2333</v>
      </c>
      <c r="H207" s="357">
        <v>2308</v>
      </c>
      <c r="I207" s="357">
        <v>2446</v>
      </c>
      <c r="J207" s="357">
        <v>2657.6896000000002</v>
      </c>
      <c r="K207" s="357">
        <v>2773.5264000000002</v>
      </c>
      <c r="L207" s="357">
        <v>2536</v>
      </c>
      <c r="M207" s="357">
        <v>2913</v>
      </c>
      <c r="N207" s="357">
        <v>2283</v>
      </c>
      <c r="O207" s="357">
        <v>3090</v>
      </c>
      <c r="P207" s="357">
        <v>3090</v>
      </c>
      <c r="Q207" s="357">
        <v>3090</v>
      </c>
      <c r="R207" s="357">
        <v>3090.4384</v>
      </c>
      <c r="S207" s="357">
        <v>3090</v>
      </c>
      <c r="T207" s="357">
        <v>3090</v>
      </c>
      <c r="U207" s="357">
        <v>3090</v>
      </c>
      <c r="X207" s="357"/>
      <c r="Y207" s="499"/>
    </row>
    <row r="208" spans="1:25">
      <c r="A208" s="349">
        <v>179</v>
      </c>
      <c r="B208" s="353" t="s">
        <v>198</v>
      </c>
      <c r="C208" s="349" t="s">
        <v>365</v>
      </c>
      <c r="D208" s="357">
        <v>8905</v>
      </c>
      <c r="E208" s="357">
        <v>8481</v>
      </c>
      <c r="F208" s="357">
        <v>8481</v>
      </c>
      <c r="G208" s="357">
        <v>8481</v>
      </c>
      <c r="H208" s="357">
        <v>8905</v>
      </c>
      <c r="I208" s="357">
        <v>8905</v>
      </c>
      <c r="J208" s="357">
        <v>9329.2335999999996</v>
      </c>
      <c r="K208" s="357">
        <v>8481.2207999999991</v>
      </c>
      <c r="L208" s="357">
        <v>8481</v>
      </c>
      <c r="M208" s="357">
        <v>8905</v>
      </c>
      <c r="N208" s="357">
        <v>8481</v>
      </c>
      <c r="O208" s="357">
        <v>10177</v>
      </c>
      <c r="P208" s="357">
        <v>10177</v>
      </c>
      <c r="Q208" s="357">
        <v>10177</v>
      </c>
      <c r="R208" s="357">
        <v>10177.2464</v>
      </c>
      <c r="S208" s="357">
        <v>10177</v>
      </c>
      <c r="T208" s="357">
        <v>10177</v>
      </c>
      <c r="U208" s="357">
        <v>10177</v>
      </c>
      <c r="X208" s="357"/>
      <c r="Y208" s="499"/>
    </row>
    <row r="209" spans="1:25">
      <c r="A209" s="349">
        <v>180</v>
      </c>
      <c r="B209" s="353" t="s">
        <v>199</v>
      </c>
      <c r="C209" s="349" t="s">
        <v>365</v>
      </c>
      <c r="D209" s="357">
        <v>6230</v>
      </c>
      <c r="E209" s="357">
        <v>4265</v>
      </c>
      <c r="F209" s="357">
        <v>4636</v>
      </c>
      <c r="G209" s="357">
        <v>4265</v>
      </c>
      <c r="H209" s="357">
        <v>4265</v>
      </c>
      <c r="I209" s="357">
        <v>4265</v>
      </c>
      <c r="J209" s="357">
        <v>4635.6575999999995</v>
      </c>
      <c r="K209" s="357">
        <v>6230.0527999999995</v>
      </c>
      <c r="L209" s="357">
        <v>4636</v>
      </c>
      <c r="M209" s="357">
        <v>6230</v>
      </c>
      <c r="N209" s="357">
        <v>4673</v>
      </c>
      <c r="O209" s="357">
        <v>7026</v>
      </c>
      <c r="P209" s="357">
        <v>7026</v>
      </c>
      <c r="Q209" s="357">
        <v>7026</v>
      </c>
      <c r="R209" s="357">
        <v>7025.6112000000003</v>
      </c>
      <c r="S209" s="357">
        <v>7026</v>
      </c>
      <c r="T209" s="357">
        <v>7026</v>
      </c>
      <c r="U209" s="357">
        <v>7026</v>
      </c>
      <c r="X209" s="357"/>
      <c r="Y209" s="499"/>
    </row>
    <row r="210" spans="1:25">
      <c r="A210" s="349">
        <v>181</v>
      </c>
      <c r="B210" s="353" t="s">
        <v>200</v>
      </c>
      <c r="C210" s="349" t="s">
        <v>365</v>
      </c>
      <c r="D210" s="357">
        <v>737</v>
      </c>
      <c r="E210" s="357">
        <v>700</v>
      </c>
      <c r="F210" s="357">
        <v>700</v>
      </c>
      <c r="G210" s="357">
        <v>700</v>
      </c>
      <c r="H210" s="357">
        <v>737</v>
      </c>
      <c r="I210" s="357">
        <v>737</v>
      </c>
      <c r="J210" s="357">
        <v>771.51679999999999</v>
      </c>
      <c r="K210" s="357">
        <v>700.48479999999995</v>
      </c>
      <c r="L210" s="357">
        <v>700</v>
      </c>
      <c r="M210" s="357">
        <v>737</v>
      </c>
      <c r="N210" s="357">
        <v>700</v>
      </c>
      <c r="O210" s="357">
        <v>841</v>
      </c>
      <c r="P210" s="357">
        <v>841</v>
      </c>
      <c r="Q210" s="357">
        <v>841</v>
      </c>
      <c r="R210" s="357">
        <v>841.45600000000002</v>
      </c>
      <c r="S210" s="357">
        <v>841</v>
      </c>
      <c r="T210" s="357">
        <v>841</v>
      </c>
      <c r="U210" s="357">
        <v>841</v>
      </c>
      <c r="X210" s="357"/>
      <c r="Y210" s="499"/>
    </row>
    <row r="211" spans="1:25">
      <c r="A211" s="349">
        <v>182</v>
      </c>
      <c r="B211" s="353" t="s">
        <v>201</v>
      </c>
      <c r="C211" s="349" t="s">
        <v>365</v>
      </c>
      <c r="D211" s="357">
        <v>1356</v>
      </c>
      <c r="E211" s="357">
        <v>1292</v>
      </c>
      <c r="F211" s="357">
        <v>1292</v>
      </c>
      <c r="G211" s="357">
        <v>1292</v>
      </c>
      <c r="H211" s="357">
        <v>1356</v>
      </c>
      <c r="I211" s="357">
        <v>1356</v>
      </c>
      <c r="J211" s="357">
        <v>1420.6399999999999</v>
      </c>
      <c r="K211" s="357">
        <v>1291.6895999999999</v>
      </c>
      <c r="L211" s="357">
        <v>1292</v>
      </c>
      <c r="M211" s="357">
        <v>1356</v>
      </c>
      <c r="N211" s="357">
        <v>1292</v>
      </c>
      <c r="O211" s="357">
        <v>1551</v>
      </c>
      <c r="P211" s="357">
        <v>1551</v>
      </c>
      <c r="Q211" s="357">
        <v>1551</v>
      </c>
      <c r="R211" s="357">
        <v>1550.6831999999999</v>
      </c>
      <c r="S211" s="357">
        <v>1551</v>
      </c>
      <c r="T211" s="357">
        <v>1551</v>
      </c>
      <c r="U211" s="357">
        <v>1551</v>
      </c>
      <c r="X211" s="357"/>
      <c r="Y211" s="499"/>
    </row>
    <row r="212" spans="1:25">
      <c r="A212" s="349">
        <v>183</v>
      </c>
      <c r="B212" s="353" t="s">
        <v>202</v>
      </c>
      <c r="C212" s="349" t="s">
        <v>365</v>
      </c>
      <c r="D212" s="357">
        <v>1349</v>
      </c>
      <c r="E212" s="357">
        <v>1285</v>
      </c>
      <c r="F212" s="357">
        <v>1349</v>
      </c>
      <c r="G212" s="357">
        <v>1285</v>
      </c>
      <c r="H212" s="357">
        <v>1285</v>
      </c>
      <c r="I212" s="357">
        <v>1285</v>
      </c>
      <c r="J212" s="357">
        <v>1394.4128000000001</v>
      </c>
      <c r="K212" s="357">
        <v>1348.5152</v>
      </c>
      <c r="L212" s="357">
        <v>1349</v>
      </c>
      <c r="M212" s="357">
        <v>1394</v>
      </c>
      <c r="N212" s="357">
        <v>1349</v>
      </c>
      <c r="O212" s="357">
        <v>1406</v>
      </c>
      <c r="P212" s="357">
        <v>1406</v>
      </c>
      <c r="Q212" s="357">
        <v>1406</v>
      </c>
      <c r="R212" s="357">
        <v>1406.4336000000001</v>
      </c>
      <c r="S212" s="357">
        <v>1406</v>
      </c>
      <c r="T212" s="357">
        <v>1406</v>
      </c>
      <c r="U212" s="357">
        <v>1406</v>
      </c>
      <c r="X212" s="357"/>
      <c r="Y212" s="499"/>
    </row>
    <row r="213" spans="1:25">
      <c r="A213" s="349">
        <v>184</v>
      </c>
      <c r="B213" s="353" t="s">
        <v>203</v>
      </c>
      <c r="C213" s="349" t="s">
        <v>365</v>
      </c>
      <c r="D213" s="357">
        <v>1496</v>
      </c>
      <c r="E213" s="357">
        <v>1297</v>
      </c>
      <c r="F213" s="357">
        <v>1410</v>
      </c>
      <c r="G213" s="357">
        <v>1297</v>
      </c>
      <c r="H213" s="357">
        <v>1297</v>
      </c>
      <c r="I213" s="357">
        <v>1297</v>
      </c>
      <c r="J213" s="357">
        <v>1409.712</v>
      </c>
      <c r="K213" s="357">
        <v>1423.9184</v>
      </c>
      <c r="L213" s="357">
        <v>1410</v>
      </c>
      <c r="M213" s="357">
        <v>1496</v>
      </c>
      <c r="N213" s="357">
        <v>1421</v>
      </c>
      <c r="O213" s="357">
        <v>1708</v>
      </c>
      <c r="P213" s="357">
        <v>1708</v>
      </c>
      <c r="Q213" s="357">
        <v>1708</v>
      </c>
      <c r="R213" s="357">
        <v>1708.0463999999999</v>
      </c>
      <c r="S213" s="357">
        <v>1708</v>
      </c>
      <c r="T213" s="357">
        <v>1708</v>
      </c>
      <c r="U213" s="357">
        <v>1708</v>
      </c>
      <c r="X213" s="357"/>
      <c r="Y213" s="499"/>
    </row>
    <row r="214" spans="1:25">
      <c r="A214" s="349">
        <v>185</v>
      </c>
      <c r="B214" s="353" t="s">
        <v>204</v>
      </c>
      <c r="C214" s="349" t="s">
        <v>365</v>
      </c>
      <c r="D214" s="357">
        <v>3701</v>
      </c>
      <c r="E214" s="357">
        <v>3524</v>
      </c>
      <c r="F214" s="357">
        <v>3524</v>
      </c>
      <c r="G214" s="357">
        <v>3524</v>
      </c>
      <c r="H214" s="357">
        <v>3701</v>
      </c>
      <c r="I214" s="357">
        <v>3701</v>
      </c>
      <c r="J214" s="357">
        <v>3876.1615999999999</v>
      </c>
      <c r="K214" s="357">
        <v>3524.2799999999997</v>
      </c>
      <c r="L214" s="357">
        <v>3524</v>
      </c>
      <c r="M214" s="357">
        <v>3701</v>
      </c>
      <c r="N214" s="357">
        <v>3524</v>
      </c>
      <c r="O214" s="357">
        <v>4229</v>
      </c>
      <c r="P214" s="357">
        <v>4229</v>
      </c>
      <c r="Q214" s="357">
        <v>4229</v>
      </c>
      <c r="R214" s="357">
        <v>4229.1360000000004</v>
      </c>
      <c r="S214" s="357">
        <v>4229</v>
      </c>
      <c r="T214" s="357">
        <v>4229</v>
      </c>
      <c r="U214" s="357">
        <v>4229</v>
      </c>
      <c r="X214" s="357"/>
      <c r="Y214" s="499"/>
    </row>
    <row r="215" spans="1:25">
      <c r="A215" s="349">
        <v>186</v>
      </c>
      <c r="B215" s="353" t="s">
        <v>205</v>
      </c>
      <c r="C215" s="349" t="s">
        <v>365</v>
      </c>
      <c r="D215" s="357">
        <v>9219</v>
      </c>
      <c r="E215" s="357">
        <v>9180</v>
      </c>
      <c r="F215" s="357">
        <v>9180</v>
      </c>
      <c r="G215" s="357">
        <v>9180</v>
      </c>
      <c r="H215" s="357">
        <v>9219</v>
      </c>
      <c r="I215" s="357">
        <v>9219</v>
      </c>
      <c r="J215" s="357">
        <v>9218.8608000000004</v>
      </c>
      <c r="K215" s="357">
        <v>9179.52</v>
      </c>
      <c r="L215" s="357">
        <v>9180</v>
      </c>
      <c r="M215" s="357">
        <v>9219</v>
      </c>
      <c r="N215" s="357">
        <v>9180</v>
      </c>
      <c r="O215" s="357">
        <v>11015</v>
      </c>
      <c r="P215" s="357">
        <v>11015</v>
      </c>
      <c r="Q215" s="357">
        <v>11015</v>
      </c>
      <c r="R215" s="357">
        <v>11015.423999999999</v>
      </c>
      <c r="S215" s="357">
        <v>11015</v>
      </c>
      <c r="T215" s="357">
        <v>11015</v>
      </c>
      <c r="U215" s="357">
        <v>11015</v>
      </c>
      <c r="X215" s="357"/>
      <c r="Y215" s="499"/>
    </row>
    <row r="216" spans="1:25">
      <c r="A216" s="349">
        <v>187</v>
      </c>
      <c r="B216" s="353" t="s">
        <v>206</v>
      </c>
      <c r="C216" s="349" t="s">
        <v>365</v>
      </c>
      <c r="D216" s="357">
        <v>3701</v>
      </c>
      <c r="E216" s="357">
        <v>3524</v>
      </c>
      <c r="F216" s="357">
        <v>3524</v>
      </c>
      <c r="G216" s="357">
        <v>3524</v>
      </c>
      <c r="H216" s="357">
        <v>3701</v>
      </c>
      <c r="I216" s="357">
        <v>3701</v>
      </c>
      <c r="J216" s="357">
        <v>3876.1615999999999</v>
      </c>
      <c r="K216" s="357">
        <v>3524.2799999999997</v>
      </c>
      <c r="L216" s="357">
        <v>3524</v>
      </c>
      <c r="M216" s="357">
        <v>3701</v>
      </c>
      <c r="N216" s="357">
        <v>3524</v>
      </c>
      <c r="O216" s="357">
        <v>4229</v>
      </c>
      <c r="P216" s="357">
        <v>4229</v>
      </c>
      <c r="Q216" s="357">
        <v>4229</v>
      </c>
      <c r="R216" s="357">
        <v>4229.1360000000004</v>
      </c>
      <c r="S216" s="357">
        <v>4229</v>
      </c>
      <c r="T216" s="357">
        <v>4229</v>
      </c>
      <c r="U216" s="357">
        <v>4229</v>
      </c>
      <c r="X216" s="357"/>
      <c r="Y216" s="499"/>
    </row>
    <row r="217" spans="1:25">
      <c r="A217" s="349">
        <v>188</v>
      </c>
      <c r="B217" s="353" t="s">
        <v>207</v>
      </c>
      <c r="C217" s="349" t="s">
        <v>365</v>
      </c>
      <c r="D217" s="357">
        <v>4413</v>
      </c>
      <c r="E217" s="357">
        <v>4203</v>
      </c>
      <c r="F217" s="357">
        <v>4203</v>
      </c>
      <c r="G217" s="357">
        <v>4203</v>
      </c>
      <c r="H217" s="357">
        <v>4413</v>
      </c>
      <c r="I217" s="357">
        <v>4413</v>
      </c>
      <c r="J217" s="357">
        <v>4623.6368000000002</v>
      </c>
      <c r="K217" s="357">
        <v>4202.9088000000002</v>
      </c>
      <c r="L217" s="357">
        <v>4203</v>
      </c>
      <c r="M217" s="357">
        <v>4413</v>
      </c>
      <c r="N217" s="357">
        <v>4203</v>
      </c>
      <c r="O217" s="357">
        <v>5043</v>
      </c>
      <c r="P217" s="357">
        <v>5043</v>
      </c>
      <c r="Q217" s="357">
        <v>5043</v>
      </c>
      <c r="R217" s="357">
        <v>5043.2719999999999</v>
      </c>
      <c r="S217" s="357">
        <v>5043</v>
      </c>
      <c r="T217" s="357">
        <v>5043</v>
      </c>
      <c r="U217" s="357">
        <v>5043</v>
      </c>
      <c r="X217" s="357"/>
      <c r="Y217" s="499"/>
    </row>
    <row r="218" spans="1:25">
      <c r="A218" s="349">
        <v>189</v>
      </c>
      <c r="B218" s="353" t="s">
        <v>208</v>
      </c>
      <c r="C218" s="349" t="s">
        <v>365</v>
      </c>
      <c r="D218" s="357">
        <v>2121</v>
      </c>
      <c r="E218" s="357">
        <v>2019</v>
      </c>
      <c r="F218" s="357">
        <v>2019</v>
      </c>
      <c r="G218" s="357">
        <v>2019</v>
      </c>
      <c r="H218" s="357">
        <v>2121</v>
      </c>
      <c r="I218" s="357">
        <v>2121</v>
      </c>
      <c r="J218" s="357">
        <v>2222.7552000000001</v>
      </c>
      <c r="K218" s="357">
        <v>2019.4944</v>
      </c>
      <c r="L218" s="357">
        <v>2019</v>
      </c>
      <c r="M218" s="357">
        <v>2121</v>
      </c>
      <c r="N218" s="357">
        <v>2019</v>
      </c>
      <c r="O218" s="357">
        <v>2424</v>
      </c>
      <c r="P218" s="357">
        <v>2424</v>
      </c>
      <c r="Q218" s="357">
        <v>2424</v>
      </c>
      <c r="R218" s="357">
        <v>2423.8303999999998</v>
      </c>
      <c r="S218" s="357">
        <v>2424</v>
      </c>
      <c r="T218" s="357">
        <v>2424</v>
      </c>
      <c r="U218" s="357">
        <v>2424</v>
      </c>
      <c r="X218" s="357"/>
      <c r="Y218" s="499"/>
    </row>
    <row r="219" spans="1:25">
      <c r="A219" s="349">
        <v>190</v>
      </c>
      <c r="B219" s="353" t="s">
        <v>209</v>
      </c>
      <c r="C219" s="349" t="s">
        <v>365</v>
      </c>
      <c r="D219" s="357">
        <v>515</v>
      </c>
      <c r="E219" s="357">
        <v>490</v>
      </c>
      <c r="F219" s="357">
        <v>490</v>
      </c>
      <c r="G219" s="357">
        <v>490</v>
      </c>
      <c r="H219" s="357">
        <v>515</v>
      </c>
      <c r="I219" s="357">
        <v>515</v>
      </c>
      <c r="J219" s="357">
        <v>537.6576</v>
      </c>
      <c r="K219" s="357">
        <v>489.57439999999997</v>
      </c>
      <c r="L219" s="357">
        <v>490</v>
      </c>
      <c r="M219" s="357">
        <v>515</v>
      </c>
      <c r="N219" s="357">
        <v>490</v>
      </c>
      <c r="O219" s="357">
        <v>587</v>
      </c>
      <c r="P219" s="357">
        <v>587</v>
      </c>
      <c r="Q219" s="357">
        <v>587</v>
      </c>
      <c r="R219" s="357">
        <v>586.83360000000005</v>
      </c>
      <c r="S219" s="357">
        <v>587</v>
      </c>
      <c r="T219" s="357">
        <v>587</v>
      </c>
      <c r="U219" s="357">
        <v>587</v>
      </c>
      <c r="X219" s="357"/>
      <c r="Y219" s="499"/>
    </row>
    <row r="220" spans="1:25">
      <c r="A220" s="349">
        <v>191</v>
      </c>
      <c r="B220" s="353" t="s">
        <v>210</v>
      </c>
      <c r="C220" s="349" t="s">
        <v>365</v>
      </c>
      <c r="D220" s="357">
        <v>1198</v>
      </c>
      <c r="E220" s="357">
        <v>1138</v>
      </c>
      <c r="F220" s="357">
        <v>1141</v>
      </c>
      <c r="G220" s="357">
        <v>1138</v>
      </c>
      <c r="H220" s="357">
        <v>1138</v>
      </c>
      <c r="I220" s="357">
        <v>1138</v>
      </c>
      <c r="J220" s="357">
        <v>1211.9151999999999</v>
      </c>
      <c r="K220" s="357">
        <v>1140.8832</v>
      </c>
      <c r="L220" s="357">
        <v>1141</v>
      </c>
      <c r="M220" s="357">
        <v>1198</v>
      </c>
      <c r="N220" s="357">
        <v>1141</v>
      </c>
      <c r="O220" s="357">
        <v>1369</v>
      </c>
      <c r="P220" s="357">
        <v>1369</v>
      </c>
      <c r="Q220" s="357">
        <v>1369</v>
      </c>
      <c r="R220" s="357">
        <v>1369.2783999999999</v>
      </c>
      <c r="S220" s="357">
        <v>1369</v>
      </c>
      <c r="T220" s="357">
        <v>1369</v>
      </c>
      <c r="U220" s="357">
        <v>1369</v>
      </c>
      <c r="X220" s="357"/>
      <c r="Y220" s="499"/>
    </row>
    <row r="221" spans="1:25">
      <c r="A221" s="349">
        <v>192</v>
      </c>
      <c r="B221" s="353" t="s">
        <v>211</v>
      </c>
      <c r="C221" s="349" t="s">
        <v>365</v>
      </c>
      <c r="D221" s="357">
        <v>1628</v>
      </c>
      <c r="E221" s="357">
        <v>1138</v>
      </c>
      <c r="F221" s="357">
        <v>1236</v>
      </c>
      <c r="G221" s="357">
        <v>1138</v>
      </c>
      <c r="H221" s="357">
        <v>1138</v>
      </c>
      <c r="I221" s="357">
        <v>1138</v>
      </c>
      <c r="J221" s="357">
        <v>1235.9567999999999</v>
      </c>
      <c r="K221" s="357">
        <v>1550.6831999999999</v>
      </c>
      <c r="L221" s="357">
        <v>1236</v>
      </c>
      <c r="M221" s="357">
        <v>1628</v>
      </c>
      <c r="N221" s="357">
        <v>1551</v>
      </c>
      <c r="O221" s="357">
        <v>1860</v>
      </c>
      <c r="P221" s="357">
        <v>1860</v>
      </c>
      <c r="Q221" s="357">
        <v>1860</v>
      </c>
      <c r="R221" s="357">
        <v>1859.9456</v>
      </c>
      <c r="S221" s="357">
        <v>1860</v>
      </c>
      <c r="T221" s="357">
        <v>1860</v>
      </c>
      <c r="U221" s="357">
        <v>1860</v>
      </c>
      <c r="X221" s="357"/>
      <c r="Y221" s="499"/>
    </row>
    <row r="222" spans="1:25">
      <c r="A222" s="349">
        <v>193</v>
      </c>
      <c r="B222" s="353" t="s">
        <v>212</v>
      </c>
      <c r="C222" s="349" t="s">
        <v>365</v>
      </c>
      <c r="D222" s="357">
        <v>10903</v>
      </c>
      <c r="E222" s="357">
        <v>10384</v>
      </c>
      <c r="F222" s="357">
        <v>10384</v>
      </c>
      <c r="G222" s="357">
        <v>10384</v>
      </c>
      <c r="H222" s="357">
        <v>10903</v>
      </c>
      <c r="I222" s="357">
        <v>10903</v>
      </c>
      <c r="J222" s="357">
        <v>11421.945599999999</v>
      </c>
      <c r="K222" s="357">
        <v>10383.785599999999</v>
      </c>
      <c r="L222" s="357">
        <v>10384</v>
      </c>
      <c r="M222" s="357">
        <v>10903</v>
      </c>
      <c r="N222" s="357">
        <v>10384</v>
      </c>
      <c r="O222" s="357">
        <v>12460</v>
      </c>
      <c r="P222" s="357">
        <v>12460</v>
      </c>
      <c r="Q222" s="357">
        <v>12460</v>
      </c>
      <c r="R222" s="357">
        <v>12460.105599999999</v>
      </c>
      <c r="S222" s="357">
        <v>12460</v>
      </c>
      <c r="T222" s="357">
        <v>12460</v>
      </c>
      <c r="U222" s="357">
        <v>12460</v>
      </c>
      <c r="X222" s="357"/>
      <c r="Y222" s="499"/>
    </row>
    <row r="223" spans="1:25">
      <c r="A223" s="349">
        <v>194</v>
      </c>
      <c r="B223" s="353" t="s">
        <v>213</v>
      </c>
      <c r="C223" s="349" t="s">
        <v>365</v>
      </c>
      <c r="D223" s="357">
        <v>13495</v>
      </c>
      <c r="E223" s="357">
        <v>13495</v>
      </c>
      <c r="F223" s="357">
        <v>13495</v>
      </c>
      <c r="G223" s="357">
        <v>13495</v>
      </c>
      <c r="H223" s="357">
        <v>13957</v>
      </c>
      <c r="I223" s="357">
        <v>13957</v>
      </c>
      <c r="J223" s="357">
        <v>11125.7968</v>
      </c>
      <c r="K223" s="357">
        <v>13494.9872</v>
      </c>
      <c r="L223" s="357">
        <v>13495</v>
      </c>
      <c r="M223" s="357">
        <v>13957</v>
      </c>
      <c r="N223" s="357">
        <v>13495</v>
      </c>
      <c r="O223" s="357">
        <v>18183</v>
      </c>
      <c r="P223" s="357">
        <v>18183</v>
      </c>
      <c r="Q223" s="357">
        <v>18183</v>
      </c>
      <c r="R223" s="357">
        <v>18183.099200000001</v>
      </c>
      <c r="S223" s="357">
        <v>18183</v>
      </c>
      <c r="T223" s="357">
        <v>18183</v>
      </c>
      <c r="U223" s="357">
        <v>18183</v>
      </c>
      <c r="X223" s="357"/>
      <c r="Y223" s="499"/>
    </row>
    <row r="224" spans="1:25">
      <c r="A224" s="349">
        <v>195</v>
      </c>
      <c r="B224" s="353" t="s">
        <v>214</v>
      </c>
      <c r="C224" s="349" t="s">
        <v>365</v>
      </c>
      <c r="D224" s="357">
        <v>1001</v>
      </c>
      <c r="E224" s="357">
        <v>953</v>
      </c>
      <c r="F224" s="357">
        <v>953</v>
      </c>
      <c r="G224" s="357">
        <v>953</v>
      </c>
      <c r="H224" s="357">
        <v>1001</v>
      </c>
      <c r="I224" s="357">
        <v>1001</v>
      </c>
      <c r="J224" s="357">
        <v>1047.9952000000001</v>
      </c>
      <c r="K224" s="357">
        <v>952.92160000000001</v>
      </c>
      <c r="L224" s="357">
        <v>953</v>
      </c>
      <c r="M224" s="357">
        <v>1001</v>
      </c>
      <c r="N224" s="357">
        <v>953</v>
      </c>
      <c r="O224" s="357">
        <v>1143</v>
      </c>
      <c r="P224" s="357">
        <v>1143</v>
      </c>
      <c r="Q224" s="357">
        <v>1143</v>
      </c>
      <c r="R224" s="357">
        <v>1143.0688</v>
      </c>
      <c r="S224" s="357">
        <v>1143</v>
      </c>
      <c r="T224" s="357">
        <v>1143</v>
      </c>
      <c r="U224" s="357">
        <v>1143</v>
      </c>
      <c r="X224" s="357"/>
      <c r="Y224" s="499"/>
    </row>
    <row r="225" spans="1:25">
      <c r="A225" s="349">
        <v>196</v>
      </c>
      <c r="B225" s="353" t="s">
        <v>215</v>
      </c>
      <c r="C225" s="349" t="s">
        <v>365</v>
      </c>
      <c r="D225" s="357">
        <v>3681</v>
      </c>
      <c r="E225" s="357">
        <v>3505</v>
      </c>
      <c r="F225" s="357">
        <v>3505</v>
      </c>
      <c r="G225" s="357">
        <v>3505</v>
      </c>
      <c r="H225" s="357">
        <v>3681</v>
      </c>
      <c r="I225" s="357">
        <v>3681</v>
      </c>
      <c r="J225" s="357">
        <v>3855.3984</v>
      </c>
      <c r="K225" s="357">
        <v>3504.6095999999998</v>
      </c>
      <c r="L225" s="357">
        <v>3505</v>
      </c>
      <c r="M225" s="357">
        <v>3681</v>
      </c>
      <c r="N225" s="357">
        <v>3505</v>
      </c>
      <c r="O225" s="357">
        <v>4205</v>
      </c>
      <c r="P225" s="357">
        <v>4205</v>
      </c>
      <c r="Q225" s="357">
        <v>4205</v>
      </c>
      <c r="R225" s="357">
        <v>4205.0944</v>
      </c>
      <c r="S225" s="357">
        <v>4205</v>
      </c>
      <c r="T225" s="357">
        <v>4205</v>
      </c>
      <c r="U225" s="357">
        <v>4205</v>
      </c>
      <c r="X225" s="357"/>
      <c r="Y225" s="499"/>
    </row>
    <row r="226" spans="1:25">
      <c r="A226" s="349">
        <v>197</v>
      </c>
      <c r="B226" s="353" t="s">
        <v>216</v>
      </c>
      <c r="C226" s="349" t="s">
        <v>365</v>
      </c>
      <c r="D226" s="357">
        <v>53364</v>
      </c>
      <c r="E226" s="357">
        <v>38270</v>
      </c>
      <c r="F226" s="357">
        <v>41597</v>
      </c>
      <c r="G226" s="357">
        <v>38270</v>
      </c>
      <c r="H226" s="357">
        <v>38270</v>
      </c>
      <c r="I226" s="357">
        <v>38270</v>
      </c>
      <c r="J226" s="357">
        <v>41597.432000000001</v>
      </c>
      <c r="K226" s="357">
        <v>53363.609599999996</v>
      </c>
      <c r="L226" s="357">
        <v>41597</v>
      </c>
      <c r="M226" s="357">
        <v>55194</v>
      </c>
      <c r="N226" s="357">
        <v>41930</v>
      </c>
      <c r="O226" s="357">
        <v>69883</v>
      </c>
      <c r="P226" s="357">
        <v>69883</v>
      </c>
      <c r="Q226" s="357">
        <v>69883</v>
      </c>
      <c r="R226" s="357">
        <v>69883.467199999999</v>
      </c>
      <c r="S226" s="357">
        <v>69883</v>
      </c>
      <c r="T226" s="357">
        <v>69883</v>
      </c>
      <c r="U226" s="357">
        <v>69883</v>
      </c>
      <c r="X226" s="357"/>
      <c r="Y226" s="499"/>
    </row>
    <row r="227" spans="1:25">
      <c r="A227" s="349">
        <v>198</v>
      </c>
      <c r="B227" s="353" t="s">
        <v>217</v>
      </c>
      <c r="C227" s="349" t="s">
        <v>365</v>
      </c>
      <c r="D227" s="357">
        <v>35712</v>
      </c>
      <c r="E227" s="357">
        <v>33970</v>
      </c>
      <c r="F227" s="357">
        <v>35712</v>
      </c>
      <c r="G227" s="357">
        <v>33970</v>
      </c>
      <c r="H227" s="357">
        <v>33970</v>
      </c>
      <c r="I227" s="357">
        <v>33970</v>
      </c>
      <c r="J227" s="357">
        <v>36924.619200000001</v>
      </c>
      <c r="K227" s="357">
        <v>35711.611199999999</v>
      </c>
      <c r="L227" s="357">
        <v>35712</v>
      </c>
      <c r="M227" s="357">
        <v>36937</v>
      </c>
      <c r="N227" s="357">
        <v>35712</v>
      </c>
      <c r="O227" s="357">
        <v>48211</v>
      </c>
      <c r="P227" s="357">
        <v>49817</v>
      </c>
      <c r="Q227" s="357">
        <v>48211</v>
      </c>
      <c r="R227" s="357">
        <v>45244.105600000003</v>
      </c>
      <c r="S227" s="357">
        <v>48828</v>
      </c>
      <c r="T227" s="357">
        <v>48828</v>
      </c>
      <c r="U227" s="357">
        <v>48828</v>
      </c>
      <c r="X227" s="357"/>
      <c r="Y227" s="499"/>
    </row>
    <row r="228" spans="1:25">
      <c r="A228" s="349">
        <v>199</v>
      </c>
      <c r="B228" s="353" t="s">
        <v>218</v>
      </c>
      <c r="C228" s="349" t="s">
        <v>365</v>
      </c>
      <c r="D228" s="357">
        <v>19629</v>
      </c>
      <c r="E228" s="357">
        <v>18695</v>
      </c>
      <c r="F228" s="357">
        <v>18695</v>
      </c>
      <c r="G228" s="357">
        <v>18695</v>
      </c>
      <c r="H228" s="357">
        <v>18868</v>
      </c>
      <c r="I228" s="357">
        <v>18868</v>
      </c>
      <c r="J228" s="357">
        <v>20508.577600000001</v>
      </c>
      <c r="K228" s="357">
        <v>18694.529600000002</v>
      </c>
      <c r="L228" s="357">
        <v>18695</v>
      </c>
      <c r="M228" s="357">
        <v>19629</v>
      </c>
      <c r="N228" s="357">
        <v>18695</v>
      </c>
      <c r="O228" s="357">
        <v>22433</v>
      </c>
      <c r="P228" s="357">
        <v>22433</v>
      </c>
      <c r="Q228" s="357">
        <v>22433</v>
      </c>
      <c r="R228" s="357">
        <v>22432.9984</v>
      </c>
      <c r="S228" s="357">
        <v>22433</v>
      </c>
      <c r="T228" s="357">
        <v>22433</v>
      </c>
      <c r="U228" s="357">
        <v>22433</v>
      </c>
      <c r="X228" s="357"/>
      <c r="Y228" s="499"/>
    </row>
    <row r="229" spans="1:25">
      <c r="A229" s="349">
        <v>200</v>
      </c>
      <c r="B229" s="353" t="s">
        <v>219</v>
      </c>
      <c r="C229" s="349" t="s">
        <v>365</v>
      </c>
      <c r="D229" s="357">
        <v>20542</v>
      </c>
      <c r="E229" s="357">
        <v>15285</v>
      </c>
      <c r="F229" s="357">
        <v>16614</v>
      </c>
      <c r="G229" s="357">
        <v>15285</v>
      </c>
      <c r="H229" s="357">
        <v>15285</v>
      </c>
      <c r="I229" s="357">
        <v>15285</v>
      </c>
      <c r="J229" s="357">
        <v>16613.838400000001</v>
      </c>
      <c r="K229" s="357">
        <v>20118.448</v>
      </c>
      <c r="L229" s="357">
        <v>16614</v>
      </c>
      <c r="M229" s="357">
        <v>21124</v>
      </c>
      <c r="N229" s="357">
        <v>16747</v>
      </c>
      <c r="O229" s="357">
        <v>24142</v>
      </c>
      <c r="P229" s="357">
        <v>24142</v>
      </c>
      <c r="Q229" s="357">
        <v>24142</v>
      </c>
      <c r="R229" s="357">
        <v>24142.137600000002</v>
      </c>
      <c r="S229" s="357">
        <v>24142</v>
      </c>
      <c r="T229" s="357">
        <v>24142</v>
      </c>
      <c r="U229" s="357">
        <v>24142</v>
      </c>
      <c r="X229" s="357"/>
      <c r="Y229" s="499"/>
    </row>
    <row r="230" spans="1:25">
      <c r="A230" s="349">
        <v>201</v>
      </c>
      <c r="B230" s="353" t="s">
        <v>220</v>
      </c>
      <c r="C230" s="349" t="s">
        <v>365</v>
      </c>
      <c r="D230" s="357">
        <v>2853</v>
      </c>
      <c r="E230" s="357">
        <v>2093</v>
      </c>
      <c r="F230" s="357">
        <v>2274</v>
      </c>
      <c r="G230" s="357">
        <v>2093</v>
      </c>
      <c r="H230" s="357">
        <v>2093</v>
      </c>
      <c r="I230" s="357">
        <v>2093</v>
      </c>
      <c r="J230" s="357">
        <v>2274.1167999999998</v>
      </c>
      <c r="K230" s="357">
        <v>2853.3008</v>
      </c>
      <c r="L230" s="357">
        <v>2274</v>
      </c>
      <c r="M230" s="357">
        <v>2917</v>
      </c>
      <c r="N230" s="357">
        <v>2293</v>
      </c>
      <c r="O230" s="357">
        <v>2917</v>
      </c>
      <c r="P230" s="357">
        <v>2917</v>
      </c>
      <c r="Q230" s="357">
        <v>2917</v>
      </c>
      <c r="R230" s="357">
        <v>2916.6831999999999</v>
      </c>
      <c r="S230" s="357">
        <v>2917</v>
      </c>
      <c r="T230" s="357">
        <v>2917</v>
      </c>
      <c r="U230" s="357">
        <v>2917</v>
      </c>
      <c r="X230" s="357"/>
      <c r="Y230" s="499"/>
    </row>
    <row r="231" spans="1:25">
      <c r="A231" s="349">
        <v>202</v>
      </c>
      <c r="B231" s="353" t="s">
        <v>221</v>
      </c>
      <c r="C231" s="349" t="s">
        <v>365</v>
      </c>
      <c r="D231" s="357">
        <v>4856</v>
      </c>
      <c r="E231" s="357">
        <v>4626</v>
      </c>
      <c r="F231" s="357">
        <v>4626</v>
      </c>
      <c r="G231" s="357">
        <v>4626</v>
      </c>
      <c r="H231" s="357">
        <v>4856</v>
      </c>
      <c r="I231" s="357">
        <v>4856</v>
      </c>
      <c r="J231" s="357">
        <v>5088.0767999999998</v>
      </c>
      <c r="K231" s="357">
        <v>4625.8224</v>
      </c>
      <c r="L231" s="357">
        <v>4626</v>
      </c>
      <c r="M231" s="357">
        <v>4856</v>
      </c>
      <c r="N231" s="357">
        <v>4626</v>
      </c>
      <c r="O231" s="357">
        <v>5550</v>
      </c>
      <c r="P231" s="357">
        <v>5550</v>
      </c>
      <c r="Q231" s="357">
        <v>5550</v>
      </c>
      <c r="R231" s="357">
        <v>5550.3311999999996</v>
      </c>
      <c r="S231" s="357">
        <v>5550</v>
      </c>
      <c r="T231" s="357">
        <v>5550</v>
      </c>
      <c r="U231" s="357">
        <v>5550</v>
      </c>
      <c r="X231" s="357"/>
      <c r="Y231" s="499"/>
    </row>
    <row r="232" spans="1:25">
      <c r="A232" s="349">
        <v>203</v>
      </c>
      <c r="B232" s="353" t="s">
        <v>222</v>
      </c>
      <c r="C232" s="349" t="s">
        <v>365</v>
      </c>
      <c r="D232" s="357">
        <v>8858</v>
      </c>
      <c r="E232" s="357">
        <v>8086</v>
      </c>
      <c r="F232" s="357">
        <v>8436</v>
      </c>
      <c r="G232" s="357">
        <v>8086</v>
      </c>
      <c r="H232" s="357">
        <v>8086</v>
      </c>
      <c r="I232" s="357">
        <v>8086</v>
      </c>
      <c r="J232" s="357">
        <v>8789.3904000000002</v>
      </c>
      <c r="K232" s="357">
        <v>8436.4159999999993</v>
      </c>
      <c r="L232" s="357">
        <v>8436</v>
      </c>
      <c r="M232" s="357">
        <v>8858</v>
      </c>
      <c r="N232" s="357">
        <v>8436</v>
      </c>
      <c r="O232" s="357">
        <v>9774</v>
      </c>
      <c r="P232" s="357">
        <v>9774</v>
      </c>
      <c r="Q232" s="357">
        <v>9774</v>
      </c>
      <c r="R232" s="357">
        <v>9774.0031999999992</v>
      </c>
      <c r="S232" s="357">
        <v>9774</v>
      </c>
      <c r="T232" s="357">
        <v>9774</v>
      </c>
      <c r="U232" s="357">
        <v>9774</v>
      </c>
      <c r="X232" s="357"/>
      <c r="Y232" s="499"/>
    </row>
    <row r="233" spans="1:25">
      <c r="A233" s="349">
        <v>204</v>
      </c>
      <c r="B233" s="353" t="s">
        <v>223</v>
      </c>
      <c r="C233" s="349" t="s">
        <v>365</v>
      </c>
      <c r="D233" s="357">
        <v>6833</v>
      </c>
      <c r="E233" s="357">
        <v>6509</v>
      </c>
      <c r="F233" s="357">
        <v>6509</v>
      </c>
      <c r="G233" s="357">
        <v>6509</v>
      </c>
      <c r="H233" s="357">
        <v>6833</v>
      </c>
      <c r="I233" s="357">
        <v>6833</v>
      </c>
      <c r="J233" s="357">
        <v>7160.0255999999999</v>
      </c>
      <c r="K233" s="357">
        <v>6508.7168000000001</v>
      </c>
      <c r="L233" s="357">
        <v>6509</v>
      </c>
      <c r="M233" s="357">
        <v>6833</v>
      </c>
      <c r="N233" s="357">
        <v>6509</v>
      </c>
      <c r="O233" s="357">
        <v>7810</v>
      </c>
      <c r="P233" s="357">
        <v>7810</v>
      </c>
      <c r="Q233" s="357">
        <v>7810</v>
      </c>
      <c r="R233" s="357">
        <v>7810.2416000000003</v>
      </c>
      <c r="S233" s="357">
        <v>7810</v>
      </c>
      <c r="T233" s="357">
        <v>7810</v>
      </c>
      <c r="U233" s="357">
        <v>7810</v>
      </c>
      <c r="X233" s="357"/>
      <c r="Y233" s="499"/>
    </row>
    <row r="234" spans="1:25">
      <c r="A234" s="349">
        <v>205</v>
      </c>
      <c r="B234" s="353" t="s">
        <v>224</v>
      </c>
      <c r="C234" s="349" t="s">
        <v>365</v>
      </c>
      <c r="D234" s="357">
        <v>2772</v>
      </c>
      <c r="E234" s="357">
        <v>2047</v>
      </c>
      <c r="F234" s="357">
        <v>2225</v>
      </c>
      <c r="G234" s="357">
        <v>2047</v>
      </c>
      <c r="H234" s="357">
        <v>2047</v>
      </c>
      <c r="I234" s="357">
        <v>2047</v>
      </c>
      <c r="J234" s="357">
        <v>2224.9407999999999</v>
      </c>
      <c r="K234" s="357">
        <v>2641.2975999999999</v>
      </c>
      <c r="L234" s="357">
        <v>2225</v>
      </c>
      <c r="M234" s="357">
        <v>2772</v>
      </c>
      <c r="N234" s="357">
        <v>2242</v>
      </c>
      <c r="O234" s="357">
        <v>3169</v>
      </c>
      <c r="P234" s="357">
        <v>3169</v>
      </c>
      <c r="Q234" s="357">
        <v>3169</v>
      </c>
      <c r="R234" s="357">
        <v>3169.12</v>
      </c>
      <c r="S234" s="357">
        <v>3169</v>
      </c>
      <c r="T234" s="357">
        <v>3169</v>
      </c>
      <c r="U234" s="357">
        <v>3169</v>
      </c>
      <c r="X234" s="357"/>
      <c r="Y234" s="499"/>
    </row>
    <row r="235" spans="1:25">
      <c r="A235" s="349">
        <v>206</v>
      </c>
      <c r="B235" s="353" t="s">
        <v>225</v>
      </c>
      <c r="C235" s="349" t="s">
        <v>365</v>
      </c>
      <c r="D235" s="357">
        <v>2947</v>
      </c>
      <c r="E235" s="357">
        <v>2807</v>
      </c>
      <c r="F235" s="357">
        <v>2807</v>
      </c>
      <c r="G235" s="357">
        <v>2807</v>
      </c>
      <c r="H235" s="357">
        <v>2947</v>
      </c>
      <c r="I235" s="357">
        <v>2947</v>
      </c>
      <c r="J235" s="357">
        <v>3088.2528000000002</v>
      </c>
      <c r="K235" s="357">
        <v>2807.4031999999997</v>
      </c>
      <c r="L235" s="357">
        <v>2807</v>
      </c>
      <c r="M235" s="357">
        <v>2947</v>
      </c>
      <c r="N235" s="357">
        <v>2807</v>
      </c>
      <c r="O235" s="357">
        <v>3369</v>
      </c>
      <c r="P235" s="357">
        <v>3369</v>
      </c>
      <c r="Q235" s="357">
        <v>3369</v>
      </c>
      <c r="R235" s="357">
        <v>3369.1023999999998</v>
      </c>
      <c r="S235" s="357">
        <v>3369</v>
      </c>
      <c r="T235" s="357">
        <v>3369</v>
      </c>
      <c r="U235" s="357">
        <v>3369</v>
      </c>
      <c r="X235" s="357"/>
      <c r="Y235" s="499"/>
    </row>
    <row r="236" spans="1:25">
      <c r="A236" s="349">
        <v>207</v>
      </c>
      <c r="B236" s="353" t="s">
        <v>226</v>
      </c>
      <c r="C236" s="349" t="s">
        <v>365</v>
      </c>
      <c r="D236" s="357">
        <v>1566</v>
      </c>
      <c r="E236" s="357">
        <v>1492</v>
      </c>
      <c r="F236" s="357">
        <v>1492</v>
      </c>
      <c r="G236" s="357">
        <v>1492</v>
      </c>
      <c r="H236" s="357">
        <v>1566</v>
      </c>
      <c r="I236" s="357">
        <v>1566</v>
      </c>
      <c r="J236" s="357">
        <v>1641.3856000000001</v>
      </c>
      <c r="K236" s="357">
        <v>1491.672</v>
      </c>
      <c r="L236" s="357">
        <v>1492</v>
      </c>
      <c r="M236" s="357">
        <v>1566</v>
      </c>
      <c r="N236" s="357">
        <v>1492</v>
      </c>
      <c r="O236" s="357">
        <v>1790</v>
      </c>
      <c r="P236" s="357">
        <v>1790</v>
      </c>
      <c r="Q236" s="357">
        <v>1790</v>
      </c>
      <c r="R236" s="357">
        <v>1790.0064</v>
      </c>
      <c r="S236" s="357">
        <v>1790</v>
      </c>
      <c r="T236" s="357">
        <v>1790</v>
      </c>
      <c r="U236" s="357">
        <v>1790</v>
      </c>
      <c r="X236" s="357"/>
      <c r="Y236" s="499"/>
    </row>
    <row r="237" spans="1:25" ht="18">
      <c r="A237" s="349">
        <v>208</v>
      </c>
      <c r="B237" s="353" t="s">
        <v>227</v>
      </c>
      <c r="C237" s="349" t="s">
        <v>366</v>
      </c>
      <c r="D237" s="357">
        <v>2535</v>
      </c>
      <c r="E237" s="357">
        <v>1906</v>
      </c>
      <c r="F237" s="357">
        <v>2072</v>
      </c>
      <c r="G237" s="357">
        <v>1906</v>
      </c>
      <c r="H237" s="357">
        <v>1906</v>
      </c>
      <c r="I237" s="357">
        <v>1906</v>
      </c>
      <c r="J237" s="357">
        <v>2071.9488000000001</v>
      </c>
      <c r="K237" s="357">
        <v>2535.2959999999998</v>
      </c>
      <c r="L237" s="357">
        <v>2072</v>
      </c>
      <c r="M237" s="357">
        <v>2535</v>
      </c>
      <c r="N237" s="357">
        <v>2088</v>
      </c>
      <c r="O237" s="357">
        <v>2535</v>
      </c>
      <c r="P237" s="357">
        <v>3481</v>
      </c>
      <c r="Q237" s="357">
        <v>3481</v>
      </c>
      <c r="R237" s="357">
        <v>3480.5680000000002</v>
      </c>
      <c r="S237" s="357">
        <v>3481</v>
      </c>
      <c r="T237" s="357">
        <v>3481</v>
      </c>
      <c r="U237" s="357">
        <v>3481</v>
      </c>
      <c r="X237" s="357"/>
      <c r="Y237" s="499"/>
    </row>
    <row r="238" spans="1:25">
      <c r="A238" s="349">
        <v>209</v>
      </c>
      <c r="B238" s="353" t="s">
        <v>227</v>
      </c>
      <c r="C238" s="349" t="s">
        <v>365</v>
      </c>
      <c r="D238" s="357">
        <v>17581</v>
      </c>
      <c r="E238" s="357">
        <v>16744</v>
      </c>
      <c r="F238" s="357">
        <v>16744</v>
      </c>
      <c r="G238" s="357">
        <v>16744</v>
      </c>
      <c r="H238" s="357">
        <v>17581</v>
      </c>
      <c r="I238" s="357">
        <v>17581</v>
      </c>
      <c r="J238" s="357">
        <v>18419.144</v>
      </c>
      <c r="K238" s="357">
        <v>16743.881600000001</v>
      </c>
      <c r="L238" s="357">
        <v>16744</v>
      </c>
      <c r="M238" s="357">
        <v>17581</v>
      </c>
      <c r="N238" s="357">
        <v>16744</v>
      </c>
      <c r="O238" s="357">
        <v>20093</v>
      </c>
      <c r="P238" s="357">
        <v>20093</v>
      </c>
      <c r="Q238" s="357">
        <v>20093</v>
      </c>
      <c r="R238" s="357">
        <v>20093.313600000001</v>
      </c>
      <c r="S238" s="357">
        <v>20093</v>
      </c>
      <c r="T238" s="357">
        <v>20093</v>
      </c>
      <c r="U238" s="357">
        <v>20093</v>
      </c>
      <c r="X238" s="357"/>
      <c r="Y238" s="499"/>
    </row>
    <row r="239" spans="1:25" ht="18">
      <c r="A239" s="349">
        <v>210</v>
      </c>
      <c r="B239" s="353" t="s">
        <v>228</v>
      </c>
      <c r="C239" s="349" t="s">
        <v>366</v>
      </c>
      <c r="D239" s="357">
        <v>247</v>
      </c>
      <c r="E239" s="357">
        <v>247</v>
      </c>
      <c r="F239" s="357">
        <v>247</v>
      </c>
      <c r="G239" s="357">
        <v>247</v>
      </c>
      <c r="H239" s="357">
        <v>247</v>
      </c>
      <c r="I239" s="357">
        <v>247</v>
      </c>
      <c r="J239" s="357">
        <v>246.97280000000001</v>
      </c>
      <c r="K239" s="357">
        <v>246.97280000000001</v>
      </c>
      <c r="L239" s="357">
        <v>247</v>
      </c>
      <c r="M239" s="357">
        <v>247</v>
      </c>
      <c r="N239" s="357">
        <v>247</v>
      </c>
      <c r="O239" s="357">
        <v>284</v>
      </c>
      <c r="P239" s="357">
        <v>284</v>
      </c>
      <c r="Q239" s="357">
        <v>284</v>
      </c>
      <c r="R239" s="357">
        <v>284.12799999999999</v>
      </c>
      <c r="S239" s="357">
        <v>284</v>
      </c>
      <c r="T239" s="357">
        <v>284</v>
      </c>
      <c r="U239" s="357">
        <v>284</v>
      </c>
      <c r="X239" s="357"/>
      <c r="Y239" s="499"/>
    </row>
    <row r="240" spans="1:25">
      <c r="A240" s="349">
        <v>211</v>
      </c>
      <c r="B240" s="353" t="s">
        <v>228</v>
      </c>
      <c r="C240" s="349" t="s">
        <v>365</v>
      </c>
      <c r="D240" s="357">
        <v>1766</v>
      </c>
      <c r="E240" s="357">
        <v>1683</v>
      </c>
      <c r="F240" s="357">
        <v>1683</v>
      </c>
      <c r="G240" s="357">
        <v>1683</v>
      </c>
      <c r="H240" s="357">
        <v>1766</v>
      </c>
      <c r="I240" s="357">
        <v>1766</v>
      </c>
      <c r="J240" s="357">
        <v>1850.1104</v>
      </c>
      <c r="K240" s="357">
        <v>1682.912</v>
      </c>
      <c r="L240" s="357">
        <v>1683</v>
      </c>
      <c r="M240" s="357">
        <v>1766</v>
      </c>
      <c r="N240" s="357">
        <v>1683</v>
      </c>
      <c r="O240" s="357">
        <v>2018</v>
      </c>
      <c r="P240" s="357">
        <v>2018</v>
      </c>
      <c r="Q240" s="357">
        <v>2018</v>
      </c>
      <c r="R240" s="357">
        <v>2018.4015999999999</v>
      </c>
      <c r="S240" s="357">
        <v>2018</v>
      </c>
      <c r="T240" s="357">
        <v>2018</v>
      </c>
      <c r="U240" s="357">
        <v>2018</v>
      </c>
      <c r="X240" s="357"/>
      <c r="Y240" s="499"/>
    </row>
    <row r="241" spans="1:25" ht="18">
      <c r="A241" s="349">
        <v>212</v>
      </c>
      <c r="B241" s="353" t="s">
        <v>229</v>
      </c>
      <c r="C241" s="349" t="s">
        <v>366</v>
      </c>
      <c r="D241" s="357">
        <v>247</v>
      </c>
      <c r="E241" s="357">
        <v>247</v>
      </c>
      <c r="F241" s="357">
        <v>247</v>
      </c>
      <c r="G241" s="357">
        <v>247</v>
      </c>
      <c r="H241" s="357">
        <v>247</v>
      </c>
      <c r="I241" s="357">
        <v>247</v>
      </c>
      <c r="J241" s="357">
        <v>246.97280000000001</v>
      </c>
      <c r="K241" s="357">
        <v>246.97280000000001</v>
      </c>
      <c r="L241" s="357">
        <v>247</v>
      </c>
      <c r="M241" s="357">
        <v>247</v>
      </c>
      <c r="N241" s="357">
        <v>247</v>
      </c>
      <c r="O241" s="357">
        <v>284</v>
      </c>
      <c r="P241" s="357">
        <v>284</v>
      </c>
      <c r="Q241" s="357">
        <v>284</v>
      </c>
      <c r="R241" s="357">
        <v>284.12799999999999</v>
      </c>
      <c r="S241" s="357">
        <v>284</v>
      </c>
      <c r="T241" s="357">
        <v>284</v>
      </c>
      <c r="U241" s="357">
        <v>284</v>
      </c>
      <c r="X241" s="357"/>
      <c r="Y241" s="499"/>
    </row>
    <row r="242" spans="1:25">
      <c r="A242" s="349">
        <v>213</v>
      </c>
      <c r="B242" s="353" t="s">
        <v>229</v>
      </c>
      <c r="C242" s="349" t="s">
        <v>365</v>
      </c>
      <c r="D242" s="357">
        <v>2650</v>
      </c>
      <c r="E242" s="357">
        <v>2286</v>
      </c>
      <c r="F242" s="357">
        <v>2485</v>
      </c>
      <c r="G242" s="357">
        <v>2286</v>
      </c>
      <c r="H242" s="357">
        <v>2286</v>
      </c>
      <c r="I242" s="357">
        <v>2286</v>
      </c>
      <c r="J242" s="357">
        <v>2485.0272</v>
      </c>
      <c r="K242" s="357">
        <v>2524.3679999999999</v>
      </c>
      <c r="L242" s="357">
        <v>2485</v>
      </c>
      <c r="M242" s="357">
        <v>2650</v>
      </c>
      <c r="N242" s="357">
        <v>2505</v>
      </c>
      <c r="O242" s="357">
        <v>3028</v>
      </c>
      <c r="P242" s="357">
        <v>3028</v>
      </c>
      <c r="Q242" s="357">
        <v>3028</v>
      </c>
      <c r="R242" s="357">
        <v>3028.1487999999999</v>
      </c>
      <c r="S242" s="357">
        <v>3028</v>
      </c>
      <c r="T242" s="357">
        <v>3028</v>
      </c>
      <c r="U242" s="357">
        <v>3028</v>
      </c>
      <c r="X242" s="357"/>
      <c r="Y242" s="499"/>
    </row>
    <row r="243" spans="1:25">
      <c r="A243" s="349">
        <v>214</v>
      </c>
      <c r="B243" s="353" t="s">
        <v>230</v>
      </c>
      <c r="C243" s="349" t="s">
        <v>365</v>
      </c>
      <c r="D243" s="357">
        <v>2465</v>
      </c>
      <c r="E243" s="357">
        <v>1979</v>
      </c>
      <c r="F243" s="357">
        <v>2151</v>
      </c>
      <c r="G243" s="357">
        <v>1979</v>
      </c>
      <c r="H243" s="357">
        <v>1979</v>
      </c>
      <c r="I243" s="357">
        <v>1979</v>
      </c>
      <c r="J243" s="357">
        <v>2150.6304</v>
      </c>
      <c r="K243" s="357">
        <v>2465.3568</v>
      </c>
      <c r="L243" s="357">
        <v>2151</v>
      </c>
      <c r="M243" s="357">
        <v>2465</v>
      </c>
      <c r="N243" s="357">
        <v>2168</v>
      </c>
      <c r="O243" s="357">
        <v>2465</v>
      </c>
      <c r="P243" s="357">
        <v>2465</v>
      </c>
      <c r="Q243" s="357">
        <v>2465</v>
      </c>
      <c r="R243" s="357">
        <v>2465.3568</v>
      </c>
      <c r="S243" s="357">
        <v>2465</v>
      </c>
      <c r="T243" s="357">
        <v>2465</v>
      </c>
      <c r="U243" s="357">
        <v>2465</v>
      </c>
      <c r="X243" s="357"/>
      <c r="Y243" s="499"/>
    </row>
    <row r="244" spans="1:25">
      <c r="A244" s="349">
        <v>215</v>
      </c>
      <c r="B244" s="353" t="s">
        <v>231</v>
      </c>
      <c r="C244" s="349" t="s">
        <v>365</v>
      </c>
      <c r="D244" s="357">
        <v>2465</v>
      </c>
      <c r="E244" s="357">
        <v>1979</v>
      </c>
      <c r="F244" s="357">
        <v>2151</v>
      </c>
      <c r="G244" s="357">
        <v>1979</v>
      </c>
      <c r="H244" s="357">
        <v>1979</v>
      </c>
      <c r="I244" s="357">
        <v>1979</v>
      </c>
      <c r="J244" s="357">
        <v>2150.6304</v>
      </c>
      <c r="K244" s="357">
        <v>2465.3568</v>
      </c>
      <c r="L244" s="357">
        <v>2151</v>
      </c>
      <c r="M244" s="357">
        <v>2465</v>
      </c>
      <c r="N244" s="357">
        <v>2168</v>
      </c>
      <c r="O244" s="357">
        <v>2465</v>
      </c>
      <c r="P244" s="357">
        <v>2465</v>
      </c>
      <c r="Q244" s="357">
        <v>2465</v>
      </c>
      <c r="R244" s="357">
        <v>2465.3568</v>
      </c>
      <c r="S244" s="357">
        <v>2465</v>
      </c>
      <c r="T244" s="357">
        <v>2465</v>
      </c>
      <c r="U244" s="357">
        <v>2465</v>
      </c>
      <c r="X244" s="357"/>
      <c r="Y244" s="499"/>
    </row>
    <row r="245" spans="1:25">
      <c r="A245" s="349">
        <v>216</v>
      </c>
      <c r="B245" s="353" t="s">
        <v>232</v>
      </c>
      <c r="C245" s="349" t="s">
        <v>365</v>
      </c>
      <c r="D245" s="357">
        <v>1326</v>
      </c>
      <c r="E245" s="357">
        <v>1262</v>
      </c>
      <c r="F245" s="357">
        <v>1262</v>
      </c>
      <c r="G245" s="357">
        <v>1262</v>
      </c>
      <c r="H245" s="357">
        <v>1326</v>
      </c>
      <c r="I245" s="357">
        <v>1326</v>
      </c>
      <c r="J245" s="357">
        <v>1387.856</v>
      </c>
      <c r="K245" s="357">
        <v>1262.184</v>
      </c>
      <c r="L245" s="357">
        <v>1262</v>
      </c>
      <c r="M245" s="357">
        <v>1326</v>
      </c>
      <c r="N245" s="357">
        <v>1262</v>
      </c>
      <c r="O245" s="357">
        <v>1515</v>
      </c>
      <c r="P245" s="357">
        <v>1515</v>
      </c>
      <c r="Q245" s="357">
        <v>1515</v>
      </c>
      <c r="R245" s="357">
        <v>1514.6207999999999</v>
      </c>
      <c r="S245" s="357">
        <v>1515</v>
      </c>
      <c r="T245" s="357">
        <v>1515</v>
      </c>
      <c r="U245" s="357">
        <v>1515</v>
      </c>
      <c r="X245" s="357"/>
      <c r="Y245" s="499"/>
    </row>
    <row r="246" spans="1:25">
      <c r="A246" s="349">
        <v>217</v>
      </c>
      <c r="B246" s="353" t="s">
        <v>233</v>
      </c>
      <c r="C246" s="349" t="s">
        <v>365</v>
      </c>
      <c r="D246" s="357">
        <v>1641</v>
      </c>
      <c r="E246" s="357">
        <v>1433</v>
      </c>
      <c r="F246" s="357">
        <v>1545</v>
      </c>
      <c r="G246" s="357">
        <v>1433</v>
      </c>
      <c r="H246" s="357">
        <v>1433</v>
      </c>
      <c r="I246" s="357">
        <v>1433</v>
      </c>
      <c r="J246" s="357">
        <v>1557.24</v>
      </c>
      <c r="K246" s="357">
        <v>1545.2192</v>
      </c>
      <c r="L246" s="357">
        <v>1557</v>
      </c>
      <c r="M246" s="357">
        <v>1641</v>
      </c>
      <c r="N246" s="357">
        <v>1570</v>
      </c>
      <c r="O246" s="357">
        <v>1641</v>
      </c>
      <c r="P246" s="357">
        <v>1641</v>
      </c>
      <c r="Q246" s="357">
        <v>1641</v>
      </c>
      <c r="R246" s="357">
        <v>1641.3856000000001</v>
      </c>
      <c r="S246" s="357">
        <v>1641</v>
      </c>
      <c r="T246" s="357">
        <v>1641</v>
      </c>
      <c r="U246" s="357">
        <v>1641</v>
      </c>
      <c r="X246" s="357"/>
      <c r="Y246" s="499"/>
    </row>
    <row r="247" spans="1:25" ht="18">
      <c r="A247" s="349">
        <v>218</v>
      </c>
      <c r="B247" s="353" t="s">
        <v>234</v>
      </c>
      <c r="C247" s="349" t="s">
        <v>366</v>
      </c>
      <c r="D247" s="357">
        <v>742</v>
      </c>
      <c r="E247" s="357">
        <v>742</v>
      </c>
      <c r="F247" s="357">
        <v>742</v>
      </c>
      <c r="G247" s="357">
        <v>742</v>
      </c>
      <c r="H247" s="357">
        <v>742</v>
      </c>
      <c r="I247" s="357">
        <v>742</v>
      </c>
      <c r="J247" s="357">
        <v>742.01120000000003</v>
      </c>
      <c r="K247" s="357">
        <v>742.01120000000003</v>
      </c>
      <c r="L247" s="357">
        <v>742</v>
      </c>
      <c r="M247" s="357">
        <v>742</v>
      </c>
      <c r="N247" s="357">
        <v>742</v>
      </c>
      <c r="O247" s="357">
        <v>853</v>
      </c>
      <c r="P247" s="357">
        <v>853</v>
      </c>
      <c r="Q247" s="357">
        <v>853</v>
      </c>
      <c r="R247" s="357">
        <v>853.47680000000003</v>
      </c>
      <c r="S247" s="357">
        <v>853</v>
      </c>
      <c r="T247" s="357">
        <v>853</v>
      </c>
      <c r="U247" s="357">
        <v>853</v>
      </c>
      <c r="X247" s="357"/>
      <c r="Y247" s="499"/>
    </row>
    <row r="248" spans="1:25">
      <c r="A248" s="349">
        <v>219</v>
      </c>
      <c r="B248" s="353" t="s">
        <v>234</v>
      </c>
      <c r="C248" s="349" t="s">
        <v>365</v>
      </c>
      <c r="D248" s="357">
        <v>7951</v>
      </c>
      <c r="E248" s="357">
        <v>7573</v>
      </c>
      <c r="F248" s="357">
        <v>7573</v>
      </c>
      <c r="G248" s="357">
        <v>7573</v>
      </c>
      <c r="H248" s="357">
        <v>7951</v>
      </c>
      <c r="I248" s="357">
        <v>7951</v>
      </c>
      <c r="J248" s="357">
        <v>8282.3312000000005</v>
      </c>
      <c r="K248" s="357">
        <v>7573.1040000000003</v>
      </c>
      <c r="L248" s="357">
        <v>7573</v>
      </c>
      <c r="M248" s="357">
        <v>7951</v>
      </c>
      <c r="N248" s="357">
        <v>7573</v>
      </c>
      <c r="O248" s="357">
        <v>9087</v>
      </c>
      <c r="P248" s="357">
        <v>9087</v>
      </c>
      <c r="Q248" s="357">
        <v>9087</v>
      </c>
      <c r="R248" s="357">
        <v>9086.6319999999996</v>
      </c>
      <c r="S248" s="357">
        <v>9087</v>
      </c>
      <c r="T248" s="357">
        <v>9087</v>
      </c>
      <c r="U248" s="357">
        <v>9087</v>
      </c>
      <c r="X248" s="357"/>
      <c r="Y248" s="499"/>
    </row>
    <row r="249" spans="1:25" ht="18">
      <c r="A249" s="349">
        <v>220</v>
      </c>
      <c r="B249" s="353" t="s">
        <v>235</v>
      </c>
      <c r="C249" s="349" t="s">
        <v>366</v>
      </c>
      <c r="D249" s="357">
        <v>633</v>
      </c>
      <c r="E249" s="357">
        <v>633</v>
      </c>
      <c r="F249" s="357">
        <v>633</v>
      </c>
      <c r="G249" s="357">
        <v>633</v>
      </c>
      <c r="H249" s="357">
        <v>633</v>
      </c>
      <c r="I249" s="357">
        <v>633</v>
      </c>
      <c r="J249" s="357">
        <v>632.73119999999994</v>
      </c>
      <c r="K249" s="357">
        <v>632.73119999999994</v>
      </c>
      <c r="L249" s="357">
        <v>633</v>
      </c>
      <c r="M249" s="357">
        <v>633</v>
      </c>
      <c r="N249" s="357">
        <v>633</v>
      </c>
      <c r="O249" s="357">
        <v>853</v>
      </c>
      <c r="P249" s="357">
        <v>853</v>
      </c>
      <c r="Q249" s="357">
        <v>853</v>
      </c>
      <c r="R249" s="357">
        <v>853.47680000000003</v>
      </c>
      <c r="S249" s="357">
        <v>853</v>
      </c>
      <c r="T249" s="357">
        <v>853</v>
      </c>
      <c r="U249" s="357">
        <v>853</v>
      </c>
      <c r="X249" s="357"/>
      <c r="Y249" s="499"/>
    </row>
    <row r="250" spans="1:25">
      <c r="A250" s="349">
        <v>221</v>
      </c>
      <c r="B250" s="353" t="s">
        <v>235</v>
      </c>
      <c r="C250" s="349" t="s">
        <v>365</v>
      </c>
      <c r="D250" s="357">
        <v>6184</v>
      </c>
      <c r="E250" s="357">
        <v>5890</v>
      </c>
      <c r="F250" s="357">
        <v>5890</v>
      </c>
      <c r="G250" s="357">
        <v>5890</v>
      </c>
      <c r="H250" s="357">
        <v>6184</v>
      </c>
      <c r="I250" s="357">
        <v>6184</v>
      </c>
      <c r="J250" s="357">
        <v>6480.3040000000001</v>
      </c>
      <c r="K250" s="357">
        <v>5890.192</v>
      </c>
      <c r="L250" s="357">
        <v>5890</v>
      </c>
      <c r="M250" s="357">
        <v>6184</v>
      </c>
      <c r="N250" s="357">
        <v>5890</v>
      </c>
      <c r="O250" s="357">
        <v>7068</v>
      </c>
      <c r="P250" s="357">
        <v>7068</v>
      </c>
      <c r="Q250" s="357">
        <v>7068</v>
      </c>
      <c r="R250" s="357">
        <v>7068.2304000000004</v>
      </c>
      <c r="S250" s="357">
        <v>7068</v>
      </c>
      <c r="T250" s="357">
        <v>7068</v>
      </c>
      <c r="U250" s="357">
        <v>7068</v>
      </c>
      <c r="X250" s="357"/>
      <c r="Y250" s="499"/>
    </row>
    <row r="251" spans="1:25" ht="18">
      <c r="A251" s="349">
        <v>222</v>
      </c>
      <c r="B251" s="353" t="s">
        <v>236</v>
      </c>
      <c r="C251" s="349" t="s">
        <v>366</v>
      </c>
      <c r="D251" s="357">
        <v>545</v>
      </c>
      <c r="E251" s="357">
        <v>545</v>
      </c>
      <c r="F251" s="357">
        <v>545</v>
      </c>
      <c r="G251" s="357">
        <v>545</v>
      </c>
      <c r="H251" s="357">
        <v>545</v>
      </c>
      <c r="I251" s="357">
        <v>545</v>
      </c>
      <c r="J251" s="357">
        <v>545.30719999999997</v>
      </c>
      <c r="K251" s="357">
        <v>545.30719999999997</v>
      </c>
      <c r="L251" s="357">
        <v>545</v>
      </c>
      <c r="M251" s="357">
        <v>545</v>
      </c>
      <c r="N251" s="357">
        <v>545</v>
      </c>
      <c r="O251" s="357">
        <v>660</v>
      </c>
      <c r="P251" s="357">
        <v>763</v>
      </c>
      <c r="Q251" s="357">
        <v>763</v>
      </c>
      <c r="R251" s="357">
        <v>762.77440000000001</v>
      </c>
      <c r="S251" s="357">
        <v>763</v>
      </c>
      <c r="T251" s="357">
        <v>763</v>
      </c>
      <c r="U251" s="357">
        <v>763</v>
      </c>
      <c r="X251" s="357"/>
      <c r="Y251" s="499"/>
    </row>
    <row r="252" spans="1:25">
      <c r="A252" s="349">
        <v>223</v>
      </c>
      <c r="B252" s="353" t="s">
        <v>236</v>
      </c>
      <c r="C252" s="349" t="s">
        <v>365</v>
      </c>
      <c r="D252" s="357">
        <v>6184</v>
      </c>
      <c r="E252" s="357">
        <v>5890</v>
      </c>
      <c r="F252" s="357">
        <v>5890</v>
      </c>
      <c r="G252" s="357">
        <v>5890</v>
      </c>
      <c r="H252" s="357">
        <v>6184</v>
      </c>
      <c r="I252" s="357">
        <v>6184</v>
      </c>
      <c r="J252" s="357">
        <v>6480.3040000000001</v>
      </c>
      <c r="K252" s="357">
        <v>5890.192</v>
      </c>
      <c r="L252" s="357">
        <v>5890</v>
      </c>
      <c r="M252" s="357">
        <v>6184</v>
      </c>
      <c r="N252" s="357">
        <v>5890</v>
      </c>
      <c r="O252" s="357">
        <v>7068</v>
      </c>
      <c r="P252" s="357">
        <v>7068</v>
      </c>
      <c r="Q252" s="357">
        <v>7068</v>
      </c>
      <c r="R252" s="357">
        <v>7068.2304000000004</v>
      </c>
      <c r="S252" s="357">
        <v>7068</v>
      </c>
      <c r="T252" s="357">
        <v>7068</v>
      </c>
      <c r="U252" s="357">
        <v>7068</v>
      </c>
      <c r="X252" s="357"/>
      <c r="Y252" s="499"/>
    </row>
    <row r="253" spans="1:25" ht="18">
      <c r="A253" s="349">
        <v>224</v>
      </c>
      <c r="B253" s="353" t="s">
        <v>237</v>
      </c>
      <c r="C253" s="349" t="s">
        <v>366</v>
      </c>
      <c r="D253" s="357">
        <v>663</v>
      </c>
      <c r="E253" s="357">
        <v>663</v>
      </c>
      <c r="F253" s="357">
        <v>663</v>
      </c>
      <c r="G253" s="357">
        <v>663</v>
      </c>
      <c r="H253" s="357">
        <v>663</v>
      </c>
      <c r="I253" s="357">
        <v>663</v>
      </c>
      <c r="J253" s="357">
        <v>663.32960000000003</v>
      </c>
      <c r="K253" s="357">
        <v>663.32960000000003</v>
      </c>
      <c r="L253" s="357">
        <v>663</v>
      </c>
      <c r="M253" s="357">
        <v>663</v>
      </c>
      <c r="N253" s="357">
        <v>663</v>
      </c>
      <c r="O253" s="357">
        <v>853</v>
      </c>
      <c r="P253" s="357">
        <v>853</v>
      </c>
      <c r="Q253" s="357">
        <v>853</v>
      </c>
      <c r="R253" s="357">
        <v>853.47680000000003</v>
      </c>
      <c r="S253" s="357">
        <v>853</v>
      </c>
      <c r="T253" s="357">
        <v>853</v>
      </c>
      <c r="U253" s="357">
        <v>853</v>
      </c>
      <c r="X253" s="357"/>
      <c r="Y253" s="499"/>
    </row>
    <row r="254" spans="1:25">
      <c r="A254" s="349">
        <v>225</v>
      </c>
      <c r="B254" s="353" t="s">
        <v>237</v>
      </c>
      <c r="C254" s="349" t="s">
        <v>365</v>
      </c>
      <c r="D254" s="357">
        <v>6183</v>
      </c>
      <c r="E254" s="357">
        <v>5889</v>
      </c>
      <c r="F254" s="357">
        <v>5889</v>
      </c>
      <c r="G254" s="357">
        <v>5889</v>
      </c>
      <c r="H254" s="357">
        <v>6183</v>
      </c>
      <c r="I254" s="357">
        <v>6183</v>
      </c>
      <c r="J254" s="357">
        <v>6477.0255999999999</v>
      </c>
      <c r="K254" s="357">
        <v>5889.0991999999997</v>
      </c>
      <c r="L254" s="357">
        <v>5889</v>
      </c>
      <c r="M254" s="357">
        <v>6183</v>
      </c>
      <c r="N254" s="357">
        <v>5889</v>
      </c>
      <c r="O254" s="357">
        <v>7067</v>
      </c>
      <c r="P254" s="357">
        <v>7067</v>
      </c>
      <c r="Q254" s="357">
        <v>7067</v>
      </c>
      <c r="R254" s="357">
        <v>7067.1376</v>
      </c>
      <c r="S254" s="357">
        <v>7067</v>
      </c>
      <c r="T254" s="357">
        <v>7067</v>
      </c>
      <c r="U254" s="357">
        <v>7067</v>
      </c>
      <c r="X254" s="357"/>
      <c r="Y254" s="499"/>
    </row>
    <row r="255" spans="1:25" ht="18">
      <c r="A255" s="349">
        <v>226</v>
      </c>
      <c r="B255" s="353" t="s">
        <v>238</v>
      </c>
      <c r="C255" s="349" t="s">
        <v>366</v>
      </c>
      <c r="D255" s="357">
        <v>742</v>
      </c>
      <c r="E255" s="357">
        <v>742</v>
      </c>
      <c r="F255" s="357">
        <v>742</v>
      </c>
      <c r="G255" s="357">
        <v>742</v>
      </c>
      <c r="H255" s="357">
        <v>742</v>
      </c>
      <c r="I255" s="357">
        <v>742</v>
      </c>
      <c r="J255" s="357">
        <v>742.01120000000003</v>
      </c>
      <c r="K255" s="357">
        <v>742.01120000000003</v>
      </c>
      <c r="L255" s="357">
        <v>742</v>
      </c>
      <c r="M255" s="357">
        <v>742</v>
      </c>
      <c r="N255" s="357">
        <v>742</v>
      </c>
      <c r="O255" s="357">
        <v>853</v>
      </c>
      <c r="P255" s="357">
        <v>853</v>
      </c>
      <c r="Q255" s="357">
        <v>853</v>
      </c>
      <c r="R255" s="357">
        <v>853.47680000000003</v>
      </c>
      <c r="S255" s="357">
        <v>853</v>
      </c>
      <c r="T255" s="357">
        <v>853</v>
      </c>
      <c r="U255" s="357">
        <v>853</v>
      </c>
      <c r="X255" s="357"/>
      <c r="Y255" s="499"/>
    </row>
    <row r="256" spans="1:25">
      <c r="A256" s="349">
        <v>227</v>
      </c>
      <c r="B256" s="353" t="s">
        <v>238</v>
      </c>
      <c r="C256" s="349" t="s">
        <v>365</v>
      </c>
      <c r="D256" s="357">
        <v>5301</v>
      </c>
      <c r="E256" s="357">
        <v>5049</v>
      </c>
      <c r="F256" s="357">
        <v>5049</v>
      </c>
      <c r="G256" s="357">
        <v>5049</v>
      </c>
      <c r="H256" s="357">
        <v>5301</v>
      </c>
      <c r="I256" s="357">
        <v>5301</v>
      </c>
      <c r="J256" s="357">
        <v>5552.5168000000003</v>
      </c>
      <c r="K256" s="357">
        <v>5048.7359999999999</v>
      </c>
      <c r="L256" s="357">
        <v>5049</v>
      </c>
      <c r="M256" s="357">
        <v>5301</v>
      </c>
      <c r="N256" s="357">
        <v>5049</v>
      </c>
      <c r="O256" s="357">
        <v>6058</v>
      </c>
      <c r="P256" s="357">
        <v>6058</v>
      </c>
      <c r="Q256" s="357">
        <v>6058</v>
      </c>
      <c r="R256" s="357">
        <v>6058.4831999999997</v>
      </c>
      <c r="S256" s="357">
        <v>6058</v>
      </c>
      <c r="T256" s="357">
        <v>6058</v>
      </c>
      <c r="U256" s="357">
        <v>6058</v>
      </c>
      <c r="X256" s="357"/>
      <c r="Y256" s="499"/>
    </row>
    <row r="257" spans="1:25" ht="18">
      <c r="A257" s="349">
        <v>228</v>
      </c>
      <c r="B257" s="353" t="s">
        <v>239</v>
      </c>
      <c r="C257" s="349" t="s">
        <v>366</v>
      </c>
      <c r="D257" s="357">
        <v>690</v>
      </c>
      <c r="E257" s="357">
        <v>690</v>
      </c>
      <c r="F257" s="357">
        <v>690</v>
      </c>
      <c r="G257" s="357">
        <v>553</v>
      </c>
      <c r="H257" s="357">
        <v>547</v>
      </c>
      <c r="I257" s="357">
        <v>649</v>
      </c>
      <c r="J257" s="357">
        <v>689.55679999999995</v>
      </c>
      <c r="K257" s="357">
        <v>689.55679999999995</v>
      </c>
      <c r="L257" s="357">
        <v>601</v>
      </c>
      <c r="M257" s="357">
        <v>690</v>
      </c>
      <c r="N257" s="357">
        <v>541</v>
      </c>
      <c r="O257" s="357">
        <v>690</v>
      </c>
      <c r="P257" s="357">
        <v>902</v>
      </c>
      <c r="Q257" s="357">
        <v>902</v>
      </c>
      <c r="R257" s="357">
        <v>901.56</v>
      </c>
      <c r="S257" s="357">
        <v>902</v>
      </c>
      <c r="T257" s="357">
        <v>902</v>
      </c>
      <c r="U257" s="357">
        <v>902</v>
      </c>
      <c r="X257" s="357"/>
      <c r="Y257" s="499"/>
    </row>
    <row r="258" spans="1:25">
      <c r="A258" s="349">
        <v>229</v>
      </c>
      <c r="B258" s="353" t="s">
        <v>239</v>
      </c>
      <c r="C258" s="349" t="s">
        <v>365</v>
      </c>
      <c r="D258" s="357">
        <v>4418</v>
      </c>
      <c r="E258" s="357">
        <v>4208</v>
      </c>
      <c r="F258" s="357">
        <v>4208</v>
      </c>
      <c r="G258" s="357">
        <v>4208</v>
      </c>
      <c r="H258" s="357">
        <v>4418</v>
      </c>
      <c r="I258" s="357">
        <v>4418</v>
      </c>
      <c r="J258" s="357">
        <v>4628.0079999999998</v>
      </c>
      <c r="K258" s="357">
        <v>4208.3728000000001</v>
      </c>
      <c r="L258" s="357">
        <v>4208</v>
      </c>
      <c r="M258" s="357">
        <v>4418</v>
      </c>
      <c r="N258" s="357">
        <v>4208</v>
      </c>
      <c r="O258" s="357">
        <v>5050</v>
      </c>
      <c r="P258" s="357">
        <v>5050</v>
      </c>
      <c r="Q258" s="357">
        <v>5050</v>
      </c>
      <c r="R258" s="357">
        <v>5049.8288000000002</v>
      </c>
      <c r="S258" s="357">
        <v>5050</v>
      </c>
      <c r="T258" s="357">
        <v>5050</v>
      </c>
      <c r="U258" s="357">
        <v>5050</v>
      </c>
      <c r="X258" s="357"/>
      <c r="Y258" s="499"/>
    </row>
    <row r="259" spans="1:25">
      <c r="A259" s="349">
        <v>230</v>
      </c>
      <c r="B259" s="353" t="s">
        <v>240</v>
      </c>
      <c r="C259" s="349" t="s">
        <v>365</v>
      </c>
      <c r="D259" s="357">
        <v>5497</v>
      </c>
      <c r="E259" s="357">
        <v>5497</v>
      </c>
      <c r="F259" s="357">
        <v>5497</v>
      </c>
      <c r="G259" s="357">
        <v>5497</v>
      </c>
      <c r="H259" s="357">
        <v>5497</v>
      </c>
      <c r="I259" s="357">
        <v>5497</v>
      </c>
      <c r="J259" s="357">
        <v>5496.7839999999997</v>
      </c>
      <c r="K259" s="357">
        <v>5496.7839999999997</v>
      </c>
      <c r="L259" s="357">
        <v>5497</v>
      </c>
      <c r="M259" s="357">
        <v>5497</v>
      </c>
      <c r="N259" s="357">
        <v>5839</v>
      </c>
      <c r="O259" s="357">
        <v>5497</v>
      </c>
      <c r="P259" s="357">
        <v>5497</v>
      </c>
      <c r="Q259" s="357">
        <v>5497</v>
      </c>
      <c r="R259" s="357">
        <v>5496.7839999999997</v>
      </c>
      <c r="S259" s="357">
        <v>5497</v>
      </c>
      <c r="T259" s="357">
        <v>5497</v>
      </c>
      <c r="U259" s="357">
        <v>5497</v>
      </c>
      <c r="X259" s="357"/>
      <c r="Y259" s="499"/>
    </row>
    <row r="260" spans="1:25" ht="18">
      <c r="A260" s="349">
        <v>231</v>
      </c>
      <c r="B260" s="353" t="s">
        <v>241</v>
      </c>
      <c r="C260" s="349" t="s">
        <v>366</v>
      </c>
      <c r="D260" s="357">
        <v>1128</v>
      </c>
      <c r="E260" s="357">
        <v>1128</v>
      </c>
      <c r="F260" s="357">
        <v>1128</v>
      </c>
      <c r="G260" s="357">
        <v>1017</v>
      </c>
      <c r="H260" s="357">
        <v>1006</v>
      </c>
      <c r="I260" s="357">
        <v>1128</v>
      </c>
      <c r="J260" s="357">
        <v>1127.7696000000001</v>
      </c>
      <c r="K260" s="357">
        <v>1127.7696000000001</v>
      </c>
      <c r="L260" s="357">
        <v>1106</v>
      </c>
      <c r="M260" s="357">
        <v>1128</v>
      </c>
      <c r="N260" s="357">
        <v>996</v>
      </c>
      <c r="O260" s="357">
        <v>1422</v>
      </c>
      <c r="P260" s="357">
        <v>1422</v>
      </c>
      <c r="Q260" s="357">
        <v>1422</v>
      </c>
      <c r="R260" s="357">
        <v>1421.7328</v>
      </c>
      <c r="S260" s="357">
        <v>1422</v>
      </c>
      <c r="T260" s="357">
        <v>1422</v>
      </c>
      <c r="U260" s="357">
        <v>1422</v>
      </c>
      <c r="X260" s="357"/>
      <c r="Y260" s="499"/>
    </row>
    <row r="261" spans="1:25">
      <c r="A261" s="349">
        <v>232</v>
      </c>
      <c r="B261" s="353" t="s">
        <v>241</v>
      </c>
      <c r="C261" s="349" t="s">
        <v>365</v>
      </c>
      <c r="D261" s="357">
        <v>11397</v>
      </c>
      <c r="E261" s="357">
        <v>10854</v>
      </c>
      <c r="F261" s="357">
        <v>10854</v>
      </c>
      <c r="G261" s="357">
        <v>10854</v>
      </c>
      <c r="H261" s="357">
        <v>10907</v>
      </c>
      <c r="I261" s="357">
        <v>10907</v>
      </c>
      <c r="J261" s="357">
        <v>11854.6944</v>
      </c>
      <c r="K261" s="357">
        <v>10853.6896</v>
      </c>
      <c r="L261" s="357">
        <v>10854</v>
      </c>
      <c r="M261" s="357">
        <v>11397</v>
      </c>
      <c r="N261" s="357">
        <v>10854</v>
      </c>
      <c r="O261" s="357">
        <v>13024</v>
      </c>
      <c r="P261" s="357">
        <v>13024</v>
      </c>
      <c r="Q261" s="357">
        <v>13024</v>
      </c>
      <c r="R261" s="357">
        <v>13023.990400000001</v>
      </c>
      <c r="S261" s="357">
        <v>13024</v>
      </c>
      <c r="T261" s="357">
        <v>13024</v>
      </c>
      <c r="U261" s="357">
        <v>13024</v>
      </c>
      <c r="X261" s="357"/>
      <c r="Y261" s="499"/>
    </row>
    <row r="262" spans="1:25" ht="18">
      <c r="A262" s="349">
        <v>233</v>
      </c>
      <c r="B262" s="353" t="s">
        <v>242</v>
      </c>
      <c r="C262" s="349" t="s">
        <v>366</v>
      </c>
      <c r="D262" s="357">
        <v>4629</v>
      </c>
      <c r="E262" s="357">
        <v>4629</v>
      </c>
      <c r="F262" s="357">
        <v>4629</v>
      </c>
      <c r="G262" s="357">
        <v>4629</v>
      </c>
      <c r="H262" s="357">
        <v>4629</v>
      </c>
      <c r="I262" s="357">
        <v>4629</v>
      </c>
      <c r="J262" s="357">
        <v>4629.1008000000002</v>
      </c>
      <c r="K262" s="357">
        <v>4629.1008000000002</v>
      </c>
      <c r="L262" s="357">
        <v>4629</v>
      </c>
      <c r="M262" s="357">
        <v>4629</v>
      </c>
      <c r="N262" s="357">
        <v>4629</v>
      </c>
      <c r="O262" s="357">
        <v>6481</v>
      </c>
      <c r="P262" s="357">
        <v>6481</v>
      </c>
      <c r="Q262" s="357">
        <v>6481</v>
      </c>
      <c r="R262" s="357">
        <v>6481.3968000000004</v>
      </c>
      <c r="S262" s="357">
        <v>6481</v>
      </c>
      <c r="T262" s="357">
        <v>6481</v>
      </c>
      <c r="U262" s="357">
        <v>6481</v>
      </c>
      <c r="X262" s="357"/>
      <c r="Y262" s="499"/>
    </row>
    <row r="263" spans="1:25">
      <c r="A263" s="349">
        <v>234</v>
      </c>
      <c r="B263" s="353" t="s">
        <v>242</v>
      </c>
      <c r="C263" s="349" t="s">
        <v>365</v>
      </c>
      <c r="D263" s="357">
        <v>9392</v>
      </c>
      <c r="E263" s="357">
        <v>9392</v>
      </c>
      <c r="F263" s="357">
        <v>9392</v>
      </c>
      <c r="G263" s="357">
        <v>9392</v>
      </c>
      <c r="H263" s="357">
        <v>9392</v>
      </c>
      <c r="I263" s="357">
        <v>9392</v>
      </c>
      <c r="J263" s="357">
        <v>9391.5231999999996</v>
      </c>
      <c r="K263" s="357">
        <v>9391.5231999999996</v>
      </c>
      <c r="L263" s="357">
        <v>9392</v>
      </c>
      <c r="M263" s="357">
        <v>9392</v>
      </c>
      <c r="N263" s="357">
        <v>50485</v>
      </c>
      <c r="O263" s="357">
        <v>9392</v>
      </c>
      <c r="P263" s="357">
        <v>9392</v>
      </c>
      <c r="Q263" s="357">
        <v>9392</v>
      </c>
      <c r="R263" s="357">
        <v>9391.5231999999996</v>
      </c>
      <c r="S263" s="357">
        <v>9392</v>
      </c>
      <c r="T263" s="357">
        <v>9392</v>
      </c>
      <c r="U263" s="357">
        <v>9392</v>
      </c>
      <c r="X263" s="357"/>
      <c r="Y263" s="499"/>
    </row>
    <row r="264" spans="1:25" ht="18">
      <c r="A264" s="349">
        <v>235</v>
      </c>
      <c r="B264" s="353" t="s">
        <v>243</v>
      </c>
      <c r="C264" s="349" t="s">
        <v>366</v>
      </c>
      <c r="D264" s="357">
        <v>4696</v>
      </c>
      <c r="E264" s="357">
        <v>4696</v>
      </c>
      <c r="F264" s="357">
        <v>4696</v>
      </c>
      <c r="G264" s="357">
        <v>4696</v>
      </c>
      <c r="H264" s="357">
        <v>4696</v>
      </c>
      <c r="I264" s="357">
        <v>4696</v>
      </c>
      <c r="J264" s="357">
        <v>4695.7615999999998</v>
      </c>
      <c r="K264" s="357">
        <v>4695.7615999999998</v>
      </c>
      <c r="L264" s="357">
        <v>4696</v>
      </c>
      <c r="M264" s="357">
        <v>4696</v>
      </c>
      <c r="N264" s="357">
        <v>4784</v>
      </c>
      <c r="O264" s="357">
        <v>4696</v>
      </c>
      <c r="P264" s="357">
        <v>4696</v>
      </c>
      <c r="Q264" s="357">
        <v>4696</v>
      </c>
      <c r="R264" s="357">
        <v>4695.7615999999998</v>
      </c>
      <c r="S264" s="357">
        <v>4696</v>
      </c>
      <c r="T264" s="357">
        <v>4696</v>
      </c>
      <c r="U264" s="357">
        <v>4696</v>
      </c>
      <c r="X264" s="357"/>
      <c r="Y264" s="499"/>
    </row>
    <row r="265" spans="1:25">
      <c r="A265" s="349">
        <v>236</v>
      </c>
      <c r="B265" s="353" t="s">
        <v>243</v>
      </c>
      <c r="C265" s="349" t="s">
        <v>365</v>
      </c>
      <c r="D265" s="357">
        <v>4696</v>
      </c>
      <c r="E265" s="357">
        <v>4696</v>
      </c>
      <c r="F265" s="357">
        <v>4696</v>
      </c>
      <c r="G265" s="357">
        <v>4696</v>
      </c>
      <c r="H265" s="357">
        <v>4696</v>
      </c>
      <c r="I265" s="357">
        <v>4696</v>
      </c>
      <c r="J265" s="357">
        <v>4695.7615999999998</v>
      </c>
      <c r="K265" s="357">
        <v>4695.7615999999998</v>
      </c>
      <c r="L265" s="357">
        <v>4696</v>
      </c>
      <c r="M265" s="357">
        <v>4696</v>
      </c>
      <c r="N265" s="357">
        <v>5367</v>
      </c>
      <c r="O265" s="357">
        <v>4696</v>
      </c>
      <c r="P265" s="357">
        <v>4696</v>
      </c>
      <c r="Q265" s="357">
        <v>4696</v>
      </c>
      <c r="R265" s="357">
        <v>4695.7615999999998</v>
      </c>
      <c r="S265" s="357">
        <v>4696</v>
      </c>
      <c r="T265" s="357">
        <v>4696</v>
      </c>
      <c r="U265" s="357">
        <v>4696</v>
      </c>
      <c r="X265" s="357"/>
      <c r="Y265" s="499"/>
    </row>
    <row r="266" spans="1:25">
      <c r="A266" s="349">
        <v>237</v>
      </c>
      <c r="B266" s="353" t="s">
        <v>244</v>
      </c>
      <c r="C266" s="349" t="s">
        <v>365</v>
      </c>
      <c r="D266" s="357">
        <v>550</v>
      </c>
      <c r="E266" s="357">
        <v>550</v>
      </c>
      <c r="F266" s="357">
        <v>550</v>
      </c>
      <c r="G266" s="357">
        <v>550</v>
      </c>
      <c r="H266" s="357">
        <v>550</v>
      </c>
      <c r="I266" s="357">
        <v>550</v>
      </c>
      <c r="J266" s="357">
        <v>549.67840000000001</v>
      </c>
      <c r="K266" s="357">
        <v>549.67840000000001</v>
      </c>
      <c r="L266" s="357">
        <v>550</v>
      </c>
      <c r="M266" s="357">
        <v>550</v>
      </c>
      <c r="N266" s="357">
        <v>628</v>
      </c>
      <c r="O266" s="357">
        <v>550</v>
      </c>
      <c r="P266" s="357">
        <v>550</v>
      </c>
      <c r="Q266" s="357">
        <v>550</v>
      </c>
      <c r="R266" s="357">
        <v>549.67840000000001</v>
      </c>
      <c r="S266" s="357">
        <v>550</v>
      </c>
      <c r="T266" s="357">
        <v>550</v>
      </c>
      <c r="U266" s="357">
        <v>550</v>
      </c>
      <c r="X266" s="357"/>
      <c r="Y266" s="499"/>
    </row>
    <row r="267" spans="1:25">
      <c r="A267" s="349">
        <v>238</v>
      </c>
      <c r="B267" s="353" t="s">
        <v>245</v>
      </c>
      <c r="C267" s="349" t="s">
        <v>365</v>
      </c>
      <c r="D267" s="357">
        <v>619</v>
      </c>
      <c r="E267" s="357">
        <v>619</v>
      </c>
      <c r="F267" s="357">
        <v>619</v>
      </c>
      <c r="G267" s="357">
        <v>619</v>
      </c>
      <c r="H267" s="357">
        <v>619</v>
      </c>
      <c r="I267" s="357">
        <v>619</v>
      </c>
      <c r="J267" s="357">
        <v>618.52480000000003</v>
      </c>
      <c r="K267" s="357">
        <v>618.52480000000003</v>
      </c>
      <c r="L267" s="357">
        <v>619</v>
      </c>
      <c r="M267" s="357">
        <v>619</v>
      </c>
      <c r="N267" s="357">
        <v>707</v>
      </c>
      <c r="O267" s="357">
        <v>619</v>
      </c>
      <c r="P267" s="357">
        <v>619</v>
      </c>
      <c r="Q267" s="357">
        <v>619</v>
      </c>
      <c r="R267" s="357">
        <v>618.52480000000003</v>
      </c>
      <c r="S267" s="357">
        <v>619</v>
      </c>
      <c r="T267" s="357">
        <v>619</v>
      </c>
      <c r="U267" s="357">
        <v>619</v>
      </c>
      <c r="X267" s="357"/>
      <c r="Y267" s="499"/>
    </row>
    <row r="268" spans="1:25" ht="18">
      <c r="A268" s="349">
        <v>239</v>
      </c>
      <c r="B268" s="353" t="s">
        <v>246</v>
      </c>
      <c r="C268" s="349" t="s">
        <v>366</v>
      </c>
      <c r="D268" s="357">
        <v>825</v>
      </c>
      <c r="E268" s="357">
        <v>825</v>
      </c>
      <c r="F268" s="357">
        <v>825</v>
      </c>
      <c r="G268" s="357">
        <v>773</v>
      </c>
      <c r="H268" s="357">
        <v>764</v>
      </c>
      <c r="I268" s="357">
        <v>825</v>
      </c>
      <c r="J268" s="357">
        <v>825.06399999999996</v>
      </c>
      <c r="K268" s="357">
        <v>825.06399999999996</v>
      </c>
      <c r="L268" s="357">
        <v>825</v>
      </c>
      <c r="M268" s="357">
        <v>825</v>
      </c>
      <c r="N268" s="357">
        <v>756</v>
      </c>
      <c r="O268" s="357">
        <v>825</v>
      </c>
      <c r="P268" s="357">
        <v>825</v>
      </c>
      <c r="Q268" s="357">
        <v>825</v>
      </c>
      <c r="R268" s="357">
        <v>825.06399999999996</v>
      </c>
      <c r="S268" s="357">
        <v>825</v>
      </c>
      <c r="T268" s="357">
        <v>825</v>
      </c>
      <c r="U268" s="357">
        <v>825</v>
      </c>
      <c r="X268" s="357"/>
      <c r="Y268" s="499"/>
    </row>
    <row r="269" spans="1:25">
      <c r="A269" s="349">
        <v>240</v>
      </c>
      <c r="B269" s="353" t="s">
        <v>246</v>
      </c>
      <c r="C269" s="349" t="s">
        <v>365</v>
      </c>
      <c r="D269" s="357">
        <v>825</v>
      </c>
      <c r="E269" s="357">
        <v>825</v>
      </c>
      <c r="F269" s="357">
        <v>825</v>
      </c>
      <c r="G269" s="357">
        <v>825</v>
      </c>
      <c r="H269" s="357">
        <v>825</v>
      </c>
      <c r="I269" s="357">
        <v>825</v>
      </c>
      <c r="J269" s="357">
        <v>825.06399999999996</v>
      </c>
      <c r="K269" s="357">
        <v>825.06399999999996</v>
      </c>
      <c r="L269" s="357">
        <v>825</v>
      </c>
      <c r="M269" s="357">
        <v>825</v>
      </c>
      <c r="N269" s="357">
        <v>942</v>
      </c>
      <c r="O269" s="357">
        <v>825</v>
      </c>
      <c r="P269" s="357">
        <v>825</v>
      </c>
      <c r="Q269" s="357">
        <v>825</v>
      </c>
      <c r="R269" s="357">
        <v>825.06399999999996</v>
      </c>
      <c r="S269" s="357">
        <v>825</v>
      </c>
      <c r="T269" s="357">
        <v>825</v>
      </c>
      <c r="U269" s="357">
        <v>825</v>
      </c>
      <c r="X269" s="357"/>
      <c r="Y269" s="499"/>
    </row>
    <row r="270" spans="1:25" ht="18">
      <c r="A270" s="349">
        <v>241</v>
      </c>
      <c r="B270" s="353" t="s">
        <v>247</v>
      </c>
      <c r="C270" s="349" t="s">
        <v>365</v>
      </c>
      <c r="D270" s="357">
        <v>7933</v>
      </c>
      <c r="E270" s="357">
        <v>7555</v>
      </c>
      <c r="F270" s="357">
        <v>7555</v>
      </c>
      <c r="G270" s="357">
        <v>7555</v>
      </c>
      <c r="H270" s="357">
        <v>7933</v>
      </c>
      <c r="I270" s="357">
        <v>7933</v>
      </c>
      <c r="J270" s="357">
        <v>8309.6512000000002</v>
      </c>
      <c r="K270" s="357">
        <v>7554.5263999999997</v>
      </c>
      <c r="L270" s="357">
        <v>7555</v>
      </c>
      <c r="M270" s="357">
        <v>7933</v>
      </c>
      <c r="N270" s="357">
        <v>7555</v>
      </c>
      <c r="O270" s="357">
        <v>9065</v>
      </c>
      <c r="P270" s="357">
        <v>9065</v>
      </c>
      <c r="Q270" s="357">
        <v>9065</v>
      </c>
      <c r="R270" s="357">
        <v>9064.7759999999998</v>
      </c>
      <c r="S270" s="357">
        <v>9065</v>
      </c>
      <c r="T270" s="357">
        <v>9065</v>
      </c>
      <c r="U270" s="357">
        <v>9065</v>
      </c>
      <c r="X270" s="357"/>
      <c r="Y270" s="499"/>
    </row>
    <row r="271" spans="1:25">
      <c r="A271" s="349">
        <v>242</v>
      </c>
      <c r="B271" s="353" t="s">
        <v>248</v>
      </c>
      <c r="C271" s="349" t="s">
        <v>365</v>
      </c>
      <c r="D271" s="357">
        <v>427</v>
      </c>
      <c r="E271" s="357">
        <v>427</v>
      </c>
      <c r="F271" s="357">
        <v>427</v>
      </c>
      <c r="G271" s="357">
        <v>427</v>
      </c>
      <c r="H271" s="357">
        <v>427</v>
      </c>
      <c r="I271" s="357">
        <v>427</v>
      </c>
      <c r="J271" s="357">
        <v>427.28480000000002</v>
      </c>
      <c r="K271" s="357">
        <v>427.28480000000002</v>
      </c>
      <c r="L271" s="357">
        <v>427</v>
      </c>
      <c r="M271" s="357">
        <v>427</v>
      </c>
      <c r="N271" s="357">
        <v>488</v>
      </c>
      <c r="O271" s="357">
        <v>427</v>
      </c>
      <c r="P271" s="357">
        <v>427</v>
      </c>
      <c r="Q271" s="357">
        <v>427</v>
      </c>
      <c r="R271" s="357">
        <v>427.28480000000002</v>
      </c>
      <c r="S271" s="357">
        <v>427</v>
      </c>
      <c r="T271" s="357">
        <v>427</v>
      </c>
      <c r="U271" s="357">
        <v>427</v>
      </c>
      <c r="X271" s="357"/>
      <c r="Y271" s="499"/>
    </row>
    <row r="272" spans="1:25">
      <c r="A272" s="349">
        <v>243</v>
      </c>
      <c r="B272" s="353" t="s">
        <v>249</v>
      </c>
      <c r="C272" s="349" t="s">
        <v>365</v>
      </c>
      <c r="D272" s="357">
        <v>109</v>
      </c>
      <c r="E272" s="357">
        <v>109</v>
      </c>
      <c r="F272" s="357">
        <v>109</v>
      </c>
      <c r="G272" s="357">
        <v>109</v>
      </c>
      <c r="H272" s="357">
        <v>109</v>
      </c>
      <c r="I272" s="357">
        <v>109</v>
      </c>
      <c r="J272" s="357">
        <v>109.28</v>
      </c>
      <c r="K272" s="357">
        <v>109.28</v>
      </c>
      <c r="L272" s="357">
        <v>109</v>
      </c>
      <c r="M272" s="357">
        <v>109</v>
      </c>
      <c r="N272" s="357">
        <v>125</v>
      </c>
      <c r="O272" s="357">
        <v>109</v>
      </c>
      <c r="P272" s="357">
        <v>109</v>
      </c>
      <c r="Q272" s="357">
        <v>109</v>
      </c>
      <c r="R272" s="357">
        <v>109.28</v>
      </c>
      <c r="S272" s="357">
        <v>109</v>
      </c>
      <c r="T272" s="357">
        <v>109</v>
      </c>
      <c r="U272" s="357">
        <v>109</v>
      </c>
      <c r="X272" s="357"/>
      <c r="Y272" s="499"/>
    </row>
    <row r="273" spans="1:25">
      <c r="A273" s="349">
        <v>244</v>
      </c>
      <c r="B273" s="353" t="s">
        <v>250</v>
      </c>
      <c r="C273" s="349" t="s">
        <v>365</v>
      </c>
      <c r="D273" s="357">
        <v>6749</v>
      </c>
      <c r="E273" s="357">
        <v>6428</v>
      </c>
      <c r="F273" s="357">
        <v>6428</v>
      </c>
      <c r="G273" s="357">
        <v>6428</v>
      </c>
      <c r="H273" s="357">
        <v>6749</v>
      </c>
      <c r="I273" s="357">
        <v>6749</v>
      </c>
      <c r="J273" s="357">
        <v>7070.4160000000002</v>
      </c>
      <c r="K273" s="357">
        <v>6427.8495999999996</v>
      </c>
      <c r="L273" s="357">
        <v>6428</v>
      </c>
      <c r="M273" s="357">
        <v>6749</v>
      </c>
      <c r="N273" s="357">
        <v>6428</v>
      </c>
      <c r="O273" s="357">
        <v>7714</v>
      </c>
      <c r="P273" s="357">
        <v>7714</v>
      </c>
      <c r="Q273" s="357">
        <v>7714</v>
      </c>
      <c r="R273" s="357">
        <v>7714.0752000000002</v>
      </c>
      <c r="S273" s="357">
        <v>7714</v>
      </c>
      <c r="T273" s="357">
        <v>7714</v>
      </c>
      <c r="U273" s="357">
        <v>7714</v>
      </c>
      <c r="X273" s="357"/>
      <c r="Y273" s="499"/>
    </row>
    <row r="274" spans="1:25">
      <c r="A274" s="349">
        <v>245</v>
      </c>
      <c r="B274" s="353" t="s">
        <v>251</v>
      </c>
      <c r="C274" s="349" t="s">
        <v>365</v>
      </c>
      <c r="D274" s="357">
        <v>8835</v>
      </c>
      <c r="E274" s="357">
        <v>8415</v>
      </c>
      <c r="F274" s="357">
        <v>8415</v>
      </c>
      <c r="G274" s="357">
        <v>8415</v>
      </c>
      <c r="H274" s="357">
        <v>8835</v>
      </c>
      <c r="I274" s="357">
        <v>8835</v>
      </c>
      <c r="J274" s="357">
        <v>9256.0159999999996</v>
      </c>
      <c r="K274" s="357">
        <v>8414.56</v>
      </c>
      <c r="L274" s="357">
        <v>8415</v>
      </c>
      <c r="M274" s="357">
        <v>8835</v>
      </c>
      <c r="N274" s="357">
        <v>8415</v>
      </c>
      <c r="O274" s="357">
        <v>10097</v>
      </c>
      <c r="P274" s="357">
        <v>10097</v>
      </c>
      <c r="Q274" s="357">
        <v>10097</v>
      </c>
      <c r="R274" s="357">
        <v>10097.472</v>
      </c>
      <c r="S274" s="357">
        <v>10097</v>
      </c>
      <c r="T274" s="357">
        <v>10097</v>
      </c>
      <c r="U274" s="357">
        <v>10097</v>
      </c>
      <c r="X274" s="357"/>
      <c r="Y274" s="499"/>
    </row>
    <row r="275" spans="1:25">
      <c r="A275" s="349">
        <v>246</v>
      </c>
      <c r="B275" s="353" t="s">
        <v>252</v>
      </c>
      <c r="C275" s="349" t="s">
        <v>365</v>
      </c>
      <c r="D275" s="357">
        <v>4550</v>
      </c>
      <c r="E275" s="357">
        <v>4334</v>
      </c>
      <c r="F275" s="357">
        <v>4334</v>
      </c>
      <c r="G275" s="357">
        <v>4334</v>
      </c>
      <c r="H275" s="357">
        <v>4550</v>
      </c>
      <c r="I275" s="357">
        <v>4550</v>
      </c>
      <c r="J275" s="357">
        <v>4767.8864000000003</v>
      </c>
      <c r="K275" s="357">
        <v>4334.0447999999997</v>
      </c>
      <c r="L275" s="357">
        <v>4334</v>
      </c>
      <c r="M275" s="357">
        <v>4550</v>
      </c>
      <c r="N275" s="357">
        <v>4334</v>
      </c>
      <c r="O275" s="357">
        <v>5201</v>
      </c>
      <c r="P275" s="357">
        <v>5201</v>
      </c>
      <c r="Q275" s="357">
        <v>5201</v>
      </c>
      <c r="R275" s="357">
        <v>5200.6351999999997</v>
      </c>
      <c r="S275" s="357">
        <v>5201</v>
      </c>
      <c r="T275" s="357">
        <v>5201</v>
      </c>
      <c r="U275" s="357">
        <v>5201</v>
      </c>
      <c r="X275" s="357"/>
      <c r="Y275" s="499"/>
    </row>
    <row r="276" spans="1:25">
      <c r="A276" s="349">
        <v>247</v>
      </c>
      <c r="B276" s="353" t="s">
        <v>253</v>
      </c>
      <c r="C276" s="349" t="s">
        <v>365</v>
      </c>
      <c r="D276" s="357">
        <v>8835</v>
      </c>
      <c r="E276" s="357">
        <v>8415</v>
      </c>
      <c r="F276" s="357">
        <v>8415</v>
      </c>
      <c r="G276" s="357">
        <v>8415</v>
      </c>
      <c r="H276" s="357">
        <v>8835</v>
      </c>
      <c r="I276" s="357">
        <v>8835</v>
      </c>
      <c r="J276" s="357">
        <v>9256.0159999999996</v>
      </c>
      <c r="K276" s="357">
        <v>8414.56</v>
      </c>
      <c r="L276" s="357">
        <v>8415</v>
      </c>
      <c r="M276" s="357">
        <v>8835</v>
      </c>
      <c r="N276" s="357">
        <v>8415</v>
      </c>
      <c r="O276" s="357">
        <v>10097</v>
      </c>
      <c r="P276" s="357">
        <v>10097</v>
      </c>
      <c r="Q276" s="357">
        <v>10097</v>
      </c>
      <c r="R276" s="357">
        <v>10097.472</v>
      </c>
      <c r="S276" s="357">
        <v>10097</v>
      </c>
      <c r="T276" s="357">
        <v>10097</v>
      </c>
      <c r="U276" s="357">
        <v>10097</v>
      </c>
      <c r="X276" s="357"/>
      <c r="Y276" s="499"/>
    </row>
    <row r="277" spans="1:25" ht="18">
      <c r="A277" s="349">
        <v>248</v>
      </c>
      <c r="B277" s="353" t="s">
        <v>254</v>
      </c>
      <c r="C277" s="349" t="s">
        <v>366</v>
      </c>
      <c r="D277" s="357">
        <v>377</v>
      </c>
      <c r="E277" s="357">
        <v>377</v>
      </c>
      <c r="F277" s="357">
        <v>377</v>
      </c>
      <c r="G277" s="357">
        <v>377</v>
      </c>
      <c r="H277" s="357">
        <v>377</v>
      </c>
      <c r="I277" s="357">
        <v>377</v>
      </c>
      <c r="J277" s="357">
        <v>377.01600000000002</v>
      </c>
      <c r="K277" s="357">
        <v>377.01600000000002</v>
      </c>
      <c r="L277" s="357">
        <v>377</v>
      </c>
      <c r="M277" s="357">
        <v>377</v>
      </c>
      <c r="N277" s="357">
        <v>476</v>
      </c>
      <c r="O277" s="357">
        <v>377</v>
      </c>
      <c r="P277" s="357">
        <v>572</v>
      </c>
      <c r="Q277" s="357">
        <v>572</v>
      </c>
      <c r="R277" s="357">
        <v>571.53440000000001</v>
      </c>
      <c r="S277" s="357">
        <v>572</v>
      </c>
      <c r="T277" s="357">
        <v>572</v>
      </c>
      <c r="U277" s="357">
        <v>572</v>
      </c>
      <c r="X277" s="357"/>
      <c r="Y277" s="499"/>
    </row>
    <row r="278" spans="1:25">
      <c r="A278" s="349">
        <v>249</v>
      </c>
      <c r="B278" s="353" t="s">
        <v>254</v>
      </c>
      <c r="C278" s="349" t="s">
        <v>365</v>
      </c>
      <c r="D278" s="357">
        <v>3623</v>
      </c>
      <c r="E278" s="357">
        <v>3623</v>
      </c>
      <c r="F278" s="357">
        <v>3623</v>
      </c>
      <c r="G278" s="357">
        <v>3623</v>
      </c>
      <c r="H278" s="357">
        <v>3623</v>
      </c>
      <c r="I278" s="357">
        <v>3623</v>
      </c>
      <c r="J278" s="357">
        <v>3622.6320000000001</v>
      </c>
      <c r="K278" s="357">
        <v>3622.6320000000001</v>
      </c>
      <c r="L278" s="357">
        <v>3623</v>
      </c>
      <c r="M278" s="357">
        <v>3623</v>
      </c>
      <c r="N278" s="357">
        <v>4630</v>
      </c>
      <c r="O278" s="357">
        <v>3623</v>
      </c>
      <c r="P278" s="357">
        <v>5557</v>
      </c>
      <c r="Q278" s="357">
        <v>5557</v>
      </c>
      <c r="R278" s="357">
        <v>5556.8879999999999</v>
      </c>
      <c r="S278" s="357">
        <v>5557</v>
      </c>
      <c r="T278" s="357">
        <v>5557</v>
      </c>
      <c r="U278" s="357">
        <v>5557</v>
      </c>
      <c r="X278" s="357"/>
      <c r="Y278" s="499"/>
    </row>
    <row r="279" spans="1:25">
      <c r="A279" s="349">
        <v>250</v>
      </c>
      <c r="B279" s="353" t="s">
        <v>255</v>
      </c>
      <c r="C279" s="349" t="s">
        <v>365</v>
      </c>
      <c r="D279" s="357">
        <v>168</v>
      </c>
      <c r="E279" s="357">
        <v>161</v>
      </c>
      <c r="F279" s="357">
        <v>161</v>
      </c>
      <c r="G279" s="357">
        <v>161</v>
      </c>
      <c r="H279" s="357">
        <v>168</v>
      </c>
      <c r="I279" s="357">
        <v>169</v>
      </c>
      <c r="J279" s="357">
        <v>175.9408</v>
      </c>
      <c r="K279" s="357">
        <v>160.64160000000001</v>
      </c>
      <c r="L279" s="357">
        <v>161</v>
      </c>
      <c r="M279" s="357">
        <v>169</v>
      </c>
      <c r="N279" s="357">
        <v>161</v>
      </c>
      <c r="O279" s="357">
        <v>190</v>
      </c>
      <c r="P279" s="357">
        <v>190</v>
      </c>
      <c r="Q279" s="357">
        <v>190</v>
      </c>
      <c r="R279" s="357">
        <v>190.1472</v>
      </c>
      <c r="S279" s="357">
        <v>190</v>
      </c>
      <c r="T279" s="357">
        <v>190</v>
      </c>
      <c r="U279" s="357">
        <v>190</v>
      </c>
      <c r="X279" s="357"/>
      <c r="Y279" s="499"/>
    </row>
    <row r="280" spans="1:25">
      <c r="A280" s="349">
        <v>251</v>
      </c>
      <c r="B280" s="353" t="s">
        <v>256</v>
      </c>
      <c r="C280" s="349" t="s">
        <v>365</v>
      </c>
      <c r="D280" s="357">
        <v>189</v>
      </c>
      <c r="E280" s="357">
        <v>180</v>
      </c>
      <c r="F280" s="357">
        <v>180</v>
      </c>
      <c r="G280" s="357">
        <v>180</v>
      </c>
      <c r="H280" s="357">
        <v>189</v>
      </c>
      <c r="I280" s="357">
        <v>189</v>
      </c>
      <c r="J280" s="357">
        <v>198.8896</v>
      </c>
      <c r="K280" s="357">
        <v>180.31200000000001</v>
      </c>
      <c r="L280" s="357">
        <v>180</v>
      </c>
      <c r="M280" s="357">
        <v>189</v>
      </c>
      <c r="N280" s="357">
        <v>180</v>
      </c>
      <c r="O280" s="357">
        <v>216</v>
      </c>
      <c r="P280" s="357">
        <v>216</v>
      </c>
      <c r="Q280" s="357">
        <v>216</v>
      </c>
      <c r="R280" s="357">
        <v>216.37440000000001</v>
      </c>
      <c r="S280" s="357">
        <v>216</v>
      </c>
      <c r="T280" s="357">
        <v>216</v>
      </c>
      <c r="U280" s="357">
        <v>216</v>
      </c>
      <c r="X280" s="357"/>
      <c r="Y280" s="499"/>
    </row>
    <row r="281" spans="1:25" ht="18">
      <c r="A281" s="349">
        <v>252</v>
      </c>
      <c r="B281" s="353" t="s">
        <v>239</v>
      </c>
      <c r="C281" s="349" t="s">
        <v>366</v>
      </c>
      <c r="D281" s="357">
        <v>535</v>
      </c>
      <c r="E281" s="357">
        <v>513</v>
      </c>
      <c r="F281" s="357">
        <v>513</v>
      </c>
      <c r="G281" s="357">
        <v>411</v>
      </c>
      <c r="H281" s="357">
        <v>405</v>
      </c>
      <c r="I281" s="357">
        <v>482</v>
      </c>
      <c r="J281" s="357">
        <v>512.52319999999997</v>
      </c>
      <c r="K281" s="357">
        <v>535.47199999999998</v>
      </c>
      <c r="L281" s="357">
        <v>446</v>
      </c>
      <c r="M281" s="357">
        <v>535</v>
      </c>
      <c r="N281" s="357">
        <v>401</v>
      </c>
      <c r="O281" s="357">
        <v>669</v>
      </c>
      <c r="P281" s="357">
        <v>669</v>
      </c>
      <c r="Q281" s="357">
        <v>669</v>
      </c>
      <c r="R281" s="357">
        <v>668.79359999999997</v>
      </c>
      <c r="S281" s="357">
        <v>669</v>
      </c>
      <c r="T281" s="357">
        <v>669</v>
      </c>
      <c r="U281" s="357">
        <v>669</v>
      </c>
      <c r="X281" s="357"/>
      <c r="Y281" s="499"/>
    </row>
    <row r="282" spans="1:25">
      <c r="A282" s="349">
        <v>253</v>
      </c>
      <c r="B282" s="353" t="s">
        <v>239</v>
      </c>
      <c r="C282" s="349" t="s">
        <v>365</v>
      </c>
      <c r="D282" s="357">
        <v>718</v>
      </c>
      <c r="E282" s="357">
        <v>684</v>
      </c>
      <c r="F282" s="357">
        <v>684</v>
      </c>
      <c r="G282" s="357">
        <v>684</v>
      </c>
      <c r="H282" s="357">
        <v>718</v>
      </c>
      <c r="I282" s="357">
        <v>718</v>
      </c>
      <c r="J282" s="357">
        <v>751.84640000000002</v>
      </c>
      <c r="K282" s="357">
        <v>684.09280000000001</v>
      </c>
      <c r="L282" s="357">
        <v>684</v>
      </c>
      <c r="M282" s="357">
        <v>718</v>
      </c>
      <c r="N282" s="357">
        <v>684</v>
      </c>
      <c r="O282" s="357">
        <v>821</v>
      </c>
      <c r="P282" s="357">
        <v>821</v>
      </c>
      <c r="Q282" s="357">
        <v>821</v>
      </c>
      <c r="R282" s="357">
        <v>820.69280000000003</v>
      </c>
      <c r="S282" s="357">
        <v>821</v>
      </c>
      <c r="T282" s="357">
        <v>821</v>
      </c>
      <c r="U282" s="357">
        <v>821</v>
      </c>
      <c r="X282" s="357"/>
      <c r="Y282" s="499"/>
    </row>
    <row r="283" spans="1:25" ht="18">
      <c r="A283" s="349">
        <v>254</v>
      </c>
      <c r="B283" s="353" t="s">
        <v>257</v>
      </c>
      <c r="C283" s="349" t="s">
        <v>366</v>
      </c>
      <c r="D283" s="357">
        <v>527</v>
      </c>
      <c r="E283" s="357">
        <v>527</v>
      </c>
      <c r="F283" s="357">
        <v>527</v>
      </c>
      <c r="G283" s="357">
        <v>527</v>
      </c>
      <c r="H283" s="357">
        <v>527</v>
      </c>
      <c r="I283" s="357">
        <v>527</v>
      </c>
      <c r="J283" s="357">
        <v>526.7296</v>
      </c>
      <c r="K283" s="357">
        <v>526.7296</v>
      </c>
      <c r="L283" s="357">
        <v>527</v>
      </c>
      <c r="M283" s="357">
        <v>527</v>
      </c>
      <c r="N283" s="357">
        <v>602</v>
      </c>
      <c r="O283" s="357">
        <v>527</v>
      </c>
      <c r="P283" s="357">
        <v>527</v>
      </c>
      <c r="Q283" s="357">
        <v>527</v>
      </c>
      <c r="R283" s="357">
        <v>526.7296</v>
      </c>
      <c r="S283" s="357">
        <v>527</v>
      </c>
      <c r="T283" s="357">
        <v>527</v>
      </c>
      <c r="U283" s="357">
        <v>527</v>
      </c>
      <c r="X283" s="357"/>
      <c r="Y283" s="499"/>
    </row>
    <row r="284" spans="1:25">
      <c r="A284" s="349">
        <v>255</v>
      </c>
      <c r="B284" s="353" t="s">
        <v>257</v>
      </c>
      <c r="C284" s="349" t="s">
        <v>365</v>
      </c>
      <c r="D284" s="357">
        <v>527</v>
      </c>
      <c r="E284" s="357">
        <v>527</v>
      </c>
      <c r="F284" s="357">
        <v>527</v>
      </c>
      <c r="G284" s="357">
        <v>527</v>
      </c>
      <c r="H284" s="357">
        <v>527</v>
      </c>
      <c r="I284" s="357">
        <v>527</v>
      </c>
      <c r="J284" s="357">
        <v>526.7296</v>
      </c>
      <c r="K284" s="357">
        <v>526.7296</v>
      </c>
      <c r="L284" s="357">
        <v>527</v>
      </c>
      <c r="M284" s="357">
        <v>527</v>
      </c>
      <c r="N284" s="357">
        <v>602</v>
      </c>
      <c r="O284" s="357">
        <v>527</v>
      </c>
      <c r="P284" s="357">
        <v>527</v>
      </c>
      <c r="Q284" s="357">
        <v>527</v>
      </c>
      <c r="R284" s="357">
        <v>526.7296</v>
      </c>
      <c r="S284" s="357">
        <v>527</v>
      </c>
      <c r="T284" s="357">
        <v>527</v>
      </c>
      <c r="U284" s="357">
        <v>527</v>
      </c>
      <c r="X284" s="357"/>
      <c r="Y284" s="499"/>
    </row>
    <row r="285" spans="1:25" ht="18">
      <c r="A285" s="349">
        <v>256</v>
      </c>
      <c r="B285" s="353" t="s">
        <v>258</v>
      </c>
      <c r="C285" s="349" t="s">
        <v>366</v>
      </c>
      <c r="D285" s="357">
        <v>6274</v>
      </c>
      <c r="E285" s="357">
        <v>6274</v>
      </c>
      <c r="F285" s="357">
        <v>6274</v>
      </c>
      <c r="G285" s="357">
        <v>6274</v>
      </c>
      <c r="H285" s="357">
        <v>6274</v>
      </c>
      <c r="I285" s="357">
        <v>6274</v>
      </c>
      <c r="J285" s="357">
        <v>6273.7647999999999</v>
      </c>
      <c r="K285" s="357">
        <v>6273.7647999999999</v>
      </c>
      <c r="L285" s="357">
        <v>6274</v>
      </c>
      <c r="M285" s="357">
        <v>6274</v>
      </c>
      <c r="N285" s="357">
        <v>6999</v>
      </c>
      <c r="O285" s="357">
        <v>6274</v>
      </c>
      <c r="P285" s="357">
        <v>6274</v>
      </c>
      <c r="Q285" s="357">
        <v>6274</v>
      </c>
      <c r="R285" s="357">
        <v>6273.7647999999999</v>
      </c>
      <c r="S285" s="357">
        <v>6274</v>
      </c>
      <c r="T285" s="357">
        <v>6274</v>
      </c>
      <c r="U285" s="357">
        <v>6274</v>
      </c>
      <c r="X285" s="357"/>
      <c r="Y285" s="499"/>
    </row>
    <row r="286" spans="1:25">
      <c r="A286" s="349">
        <v>257</v>
      </c>
      <c r="B286" s="353" t="s">
        <v>258</v>
      </c>
      <c r="C286" s="349" t="s">
        <v>365</v>
      </c>
      <c r="D286" s="357">
        <v>6274</v>
      </c>
      <c r="E286" s="357">
        <v>6274</v>
      </c>
      <c r="F286" s="357">
        <v>6274</v>
      </c>
      <c r="G286" s="357">
        <v>6274</v>
      </c>
      <c r="H286" s="357">
        <v>6274</v>
      </c>
      <c r="I286" s="357">
        <v>6274</v>
      </c>
      <c r="J286" s="357">
        <v>6273.7647999999999</v>
      </c>
      <c r="K286" s="357">
        <v>6273.7647999999999</v>
      </c>
      <c r="L286" s="357">
        <v>6274</v>
      </c>
      <c r="M286" s="357">
        <v>6274</v>
      </c>
      <c r="N286" s="357">
        <v>7170</v>
      </c>
      <c r="O286" s="357">
        <v>6274</v>
      </c>
      <c r="P286" s="357">
        <v>6274</v>
      </c>
      <c r="Q286" s="357">
        <v>6274</v>
      </c>
      <c r="R286" s="357">
        <v>6273.7647999999999</v>
      </c>
      <c r="S286" s="357">
        <v>6274</v>
      </c>
      <c r="T286" s="357">
        <v>6274</v>
      </c>
      <c r="U286" s="357">
        <v>6274</v>
      </c>
      <c r="X286" s="357"/>
      <c r="Y286" s="499"/>
    </row>
    <row r="287" spans="1:25" ht="18">
      <c r="A287" s="349">
        <v>258</v>
      </c>
      <c r="B287" s="353" t="s">
        <v>242</v>
      </c>
      <c r="C287" s="349" t="s">
        <v>366</v>
      </c>
      <c r="D287" s="357">
        <v>4629</v>
      </c>
      <c r="E287" s="357">
        <v>4629</v>
      </c>
      <c r="F287" s="357">
        <v>4629</v>
      </c>
      <c r="G287" s="357">
        <v>4629</v>
      </c>
      <c r="H287" s="357">
        <v>4629</v>
      </c>
      <c r="I287" s="357">
        <v>4629</v>
      </c>
      <c r="J287" s="357">
        <v>4629.1008000000002</v>
      </c>
      <c r="K287" s="357">
        <v>4629.1008000000002</v>
      </c>
      <c r="L287" s="357">
        <v>4629</v>
      </c>
      <c r="M287" s="357">
        <v>4629</v>
      </c>
      <c r="N287" s="357">
        <v>4629</v>
      </c>
      <c r="O287" s="357">
        <v>6481</v>
      </c>
      <c r="P287" s="357">
        <v>6481</v>
      </c>
      <c r="Q287" s="357">
        <v>6481</v>
      </c>
      <c r="R287" s="357">
        <v>6481.3968000000004</v>
      </c>
      <c r="S287" s="357">
        <v>6481</v>
      </c>
      <c r="T287" s="357">
        <v>6481</v>
      </c>
      <c r="U287" s="357">
        <v>6481</v>
      </c>
      <c r="X287" s="357"/>
      <c r="Y287" s="499"/>
    </row>
    <row r="288" spans="1:25">
      <c r="A288" s="349">
        <v>259</v>
      </c>
      <c r="B288" s="353" t="s">
        <v>242</v>
      </c>
      <c r="C288" s="349" t="s">
        <v>365</v>
      </c>
      <c r="D288" s="357">
        <v>11820</v>
      </c>
      <c r="E288" s="357">
        <v>11820</v>
      </c>
      <c r="F288" s="357">
        <v>11820</v>
      </c>
      <c r="G288" s="357">
        <v>11820</v>
      </c>
      <c r="H288" s="357">
        <v>11820</v>
      </c>
      <c r="I288" s="357">
        <v>11820</v>
      </c>
      <c r="J288" s="357">
        <v>11819.7248</v>
      </c>
      <c r="K288" s="357">
        <v>11819.7248</v>
      </c>
      <c r="L288" s="357">
        <v>11820</v>
      </c>
      <c r="M288" s="357">
        <v>11820</v>
      </c>
      <c r="N288" s="357">
        <v>13508</v>
      </c>
      <c r="O288" s="357">
        <v>11820</v>
      </c>
      <c r="P288" s="357">
        <v>11820</v>
      </c>
      <c r="Q288" s="357">
        <v>11820</v>
      </c>
      <c r="R288" s="357">
        <v>11819.7248</v>
      </c>
      <c r="S288" s="357">
        <v>11820</v>
      </c>
      <c r="T288" s="357">
        <v>11820</v>
      </c>
      <c r="U288" s="357">
        <v>11820</v>
      </c>
      <c r="X288" s="357"/>
      <c r="Y288" s="499"/>
    </row>
    <row r="289" spans="1:25" ht="18">
      <c r="A289" s="349">
        <v>260</v>
      </c>
      <c r="B289" s="353" t="s">
        <v>243</v>
      </c>
      <c r="C289" s="349" t="s">
        <v>366</v>
      </c>
      <c r="D289" s="357">
        <v>4784</v>
      </c>
      <c r="E289" s="357">
        <v>4784</v>
      </c>
      <c r="F289" s="357">
        <v>4784</v>
      </c>
      <c r="G289" s="357">
        <v>4784</v>
      </c>
      <c r="H289" s="357">
        <v>4784</v>
      </c>
      <c r="I289" s="357">
        <v>4784</v>
      </c>
      <c r="J289" s="357">
        <v>4784.2784000000001</v>
      </c>
      <c r="K289" s="357">
        <v>4784.2784000000001</v>
      </c>
      <c r="L289" s="357">
        <v>4784</v>
      </c>
      <c r="M289" s="357">
        <v>4784</v>
      </c>
      <c r="N289" s="357">
        <v>4784</v>
      </c>
      <c r="O289" s="357">
        <v>5910</v>
      </c>
      <c r="P289" s="357">
        <v>5910</v>
      </c>
      <c r="Q289" s="357">
        <v>5910</v>
      </c>
      <c r="R289" s="357">
        <v>5909.8624</v>
      </c>
      <c r="S289" s="357">
        <v>5910</v>
      </c>
      <c r="T289" s="357">
        <v>5910</v>
      </c>
      <c r="U289" s="357">
        <v>5910</v>
      </c>
      <c r="X289" s="357"/>
      <c r="Y289" s="499"/>
    </row>
    <row r="290" spans="1:25">
      <c r="A290" s="349">
        <v>261</v>
      </c>
      <c r="B290" s="353" t="s">
        <v>243</v>
      </c>
      <c r="C290" s="349" t="s">
        <v>365</v>
      </c>
      <c r="D290" s="357">
        <v>5910</v>
      </c>
      <c r="E290" s="357">
        <v>5910</v>
      </c>
      <c r="F290" s="357">
        <v>5910</v>
      </c>
      <c r="G290" s="357">
        <v>5910</v>
      </c>
      <c r="H290" s="357">
        <v>5910</v>
      </c>
      <c r="I290" s="357">
        <v>5910</v>
      </c>
      <c r="J290" s="357">
        <v>5909.8624</v>
      </c>
      <c r="K290" s="357">
        <v>5909.8624</v>
      </c>
      <c r="L290" s="357">
        <v>5910</v>
      </c>
      <c r="M290" s="357">
        <v>5910</v>
      </c>
      <c r="N290" s="357">
        <v>6754</v>
      </c>
      <c r="O290" s="357">
        <v>5910</v>
      </c>
      <c r="P290" s="357">
        <v>5910</v>
      </c>
      <c r="Q290" s="357">
        <v>5910</v>
      </c>
      <c r="R290" s="357">
        <v>5909.8624</v>
      </c>
      <c r="S290" s="357">
        <v>5910</v>
      </c>
      <c r="T290" s="357">
        <v>5910</v>
      </c>
      <c r="U290" s="357">
        <v>5910</v>
      </c>
      <c r="X290" s="357"/>
      <c r="Y290" s="499"/>
    </row>
    <row r="291" spans="1:25" ht="18">
      <c r="A291" s="349">
        <v>262</v>
      </c>
      <c r="B291" s="353" t="s">
        <v>259</v>
      </c>
      <c r="C291" s="349" t="s">
        <v>366</v>
      </c>
      <c r="D291" s="357">
        <v>368</v>
      </c>
      <c r="E291" s="357">
        <v>368</v>
      </c>
      <c r="F291" s="357">
        <v>368</v>
      </c>
      <c r="G291" s="357">
        <v>368</v>
      </c>
      <c r="H291" s="357">
        <v>368</v>
      </c>
      <c r="I291" s="357">
        <v>368</v>
      </c>
      <c r="J291" s="357">
        <v>368.27359999999999</v>
      </c>
      <c r="K291" s="357">
        <v>368.27359999999999</v>
      </c>
      <c r="L291" s="357">
        <v>368</v>
      </c>
      <c r="M291" s="357">
        <v>368</v>
      </c>
      <c r="N291" s="357">
        <v>377</v>
      </c>
      <c r="O291" s="357">
        <v>368</v>
      </c>
      <c r="P291" s="357">
        <v>368</v>
      </c>
      <c r="Q291" s="357">
        <v>368</v>
      </c>
      <c r="R291" s="357">
        <v>368.27359999999999</v>
      </c>
      <c r="S291" s="357">
        <v>368</v>
      </c>
      <c r="T291" s="357">
        <v>368</v>
      </c>
      <c r="U291" s="357">
        <v>368</v>
      </c>
      <c r="X291" s="357"/>
      <c r="Y291" s="499"/>
    </row>
    <row r="292" spans="1:25">
      <c r="A292" s="349">
        <v>263</v>
      </c>
      <c r="B292" s="353" t="s">
        <v>259</v>
      </c>
      <c r="C292" s="349" t="s">
        <v>365</v>
      </c>
      <c r="D292" s="357">
        <v>368</v>
      </c>
      <c r="E292" s="357">
        <v>368</v>
      </c>
      <c r="F292" s="357">
        <v>368</v>
      </c>
      <c r="G292" s="357">
        <v>368</v>
      </c>
      <c r="H292" s="357">
        <v>368</v>
      </c>
      <c r="I292" s="357">
        <v>368</v>
      </c>
      <c r="J292" s="357">
        <v>368.27359999999999</v>
      </c>
      <c r="K292" s="357">
        <v>368.27359999999999</v>
      </c>
      <c r="L292" s="357">
        <v>368</v>
      </c>
      <c r="M292" s="357">
        <v>368</v>
      </c>
      <c r="N292" s="357">
        <v>421</v>
      </c>
      <c r="O292" s="357">
        <v>368</v>
      </c>
      <c r="P292" s="357">
        <v>368</v>
      </c>
      <c r="Q292" s="357">
        <v>368</v>
      </c>
      <c r="R292" s="357">
        <v>368.27359999999999</v>
      </c>
      <c r="S292" s="357">
        <v>368</v>
      </c>
      <c r="T292" s="357">
        <v>368</v>
      </c>
      <c r="U292" s="357">
        <v>368</v>
      </c>
      <c r="X292" s="357"/>
      <c r="Y292" s="499"/>
    </row>
    <row r="293" spans="1:25" ht="18">
      <c r="A293" s="349">
        <v>264</v>
      </c>
      <c r="B293" s="353" t="s">
        <v>260</v>
      </c>
      <c r="C293" s="349" t="s">
        <v>366</v>
      </c>
      <c r="D293" s="357">
        <v>587</v>
      </c>
      <c r="E293" s="357">
        <v>587</v>
      </c>
      <c r="F293" s="357">
        <v>587</v>
      </c>
      <c r="G293" s="357">
        <v>587</v>
      </c>
      <c r="H293" s="357">
        <v>587</v>
      </c>
      <c r="I293" s="357">
        <v>587</v>
      </c>
      <c r="J293" s="357">
        <v>586.83360000000005</v>
      </c>
      <c r="K293" s="357">
        <v>586.83360000000005</v>
      </c>
      <c r="L293" s="357">
        <v>587</v>
      </c>
      <c r="M293" s="357">
        <v>587</v>
      </c>
      <c r="N293" s="357">
        <v>670</v>
      </c>
      <c r="O293" s="357">
        <v>587</v>
      </c>
      <c r="P293" s="357">
        <v>587</v>
      </c>
      <c r="Q293" s="357">
        <v>587</v>
      </c>
      <c r="R293" s="357">
        <v>586.83360000000005</v>
      </c>
      <c r="S293" s="357">
        <v>587</v>
      </c>
      <c r="T293" s="357">
        <v>587</v>
      </c>
      <c r="U293" s="357">
        <v>587</v>
      </c>
      <c r="X293" s="357"/>
      <c r="Y293" s="499"/>
    </row>
    <row r="294" spans="1:25">
      <c r="A294" s="349">
        <v>265</v>
      </c>
      <c r="B294" s="353" t="s">
        <v>260</v>
      </c>
      <c r="C294" s="349" t="s">
        <v>365</v>
      </c>
      <c r="D294" s="357">
        <v>587</v>
      </c>
      <c r="E294" s="357">
        <v>587</v>
      </c>
      <c r="F294" s="357">
        <v>587</v>
      </c>
      <c r="G294" s="357">
        <v>587</v>
      </c>
      <c r="H294" s="357">
        <v>587</v>
      </c>
      <c r="I294" s="357">
        <v>587</v>
      </c>
      <c r="J294" s="357">
        <v>586.83360000000005</v>
      </c>
      <c r="K294" s="357">
        <v>586.83360000000005</v>
      </c>
      <c r="L294" s="357">
        <v>587</v>
      </c>
      <c r="M294" s="357">
        <v>587</v>
      </c>
      <c r="N294" s="357">
        <v>670</v>
      </c>
      <c r="O294" s="357">
        <v>587</v>
      </c>
      <c r="P294" s="357">
        <v>587</v>
      </c>
      <c r="Q294" s="357">
        <v>587</v>
      </c>
      <c r="R294" s="357">
        <v>586.83360000000005</v>
      </c>
      <c r="S294" s="357">
        <v>587</v>
      </c>
      <c r="T294" s="357">
        <v>587</v>
      </c>
      <c r="U294" s="357">
        <v>587</v>
      </c>
      <c r="X294" s="357"/>
      <c r="Y294" s="499"/>
    </row>
    <row r="295" spans="1:25" ht="18">
      <c r="A295" s="349">
        <v>266</v>
      </c>
      <c r="B295" s="353" t="s">
        <v>261</v>
      </c>
      <c r="C295" s="349" t="s">
        <v>366</v>
      </c>
      <c r="D295" s="357">
        <v>1053</v>
      </c>
      <c r="E295" s="357">
        <v>1053</v>
      </c>
      <c r="F295" s="357">
        <v>1053</v>
      </c>
      <c r="G295" s="357">
        <v>1053</v>
      </c>
      <c r="H295" s="357">
        <v>1053</v>
      </c>
      <c r="I295" s="357">
        <v>1053</v>
      </c>
      <c r="J295" s="357">
        <v>1053.4592</v>
      </c>
      <c r="K295" s="357">
        <v>1053.4592</v>
      </c>
      <c r="L295" s="357">
        <v>1053</v>
      </c>
      <c r="M295" s="357">
        <v>1053</v>
      </c>
      <c r="N295" s="357">
        <v>1204</v>
      </c>
      <c r="O295" s="357">
        <v>1053</v>
      </c>
      <c r="P295" s="357">
        <v>1053</v>
      </c>
      <c r="Q295" s="357">
        <v>1053</v>
      </c>
      <c r="R295" s="357">
        <v>1053.4592</v>
      </c>
      <c r="S295" s="357">
        <v>1053</v>
      </c>
      <c r="T295" s="357">
        <v>1053</v>
      </c>
      <c r="U295" s="357">
        <v>1053</v>
      </c>
      <c r="X295" s="357"/>
      <c r="Y295" s="499"/>
    </row>
    <row r="296" spans="1:25">
      <c r="A296" s="349">
        <v>267</v>
      </c>
      <c r="B296" s="353" t="s">
        <v>261</v>
      </c>
      <c r="C296" s="349" t="s">
        <v>365</v>
      </c>
      <c r="D296" s="357">
        <v>1053</v>
      </c>
      <c r="E296" s="357">
        <v>1053</v>
      </c>
      <c r="F296" s="357">
        <v>1053</v>
      </c>
      <c r="G296" s="357">
        <v>1053</v>
      </c>
      <c r="H296" s="357">
        <v>1053</v>
      </c>
      <c r="I296" s="357">
        <v>1053</v>
      </c>
      <c r="J296" s="357">
        <v>1053.4592</v>
      </c>
      <c r="K296" s="357">
        <v>1053.4592</v>
      </c>
      <c r="L296" s="357">
        <v>1053</v>
      </c>
      <c r="M296" s="357">
        <v>1053</v>
      </c>
      <c r="N296" s="357">
        <v>1204</v>
      </c>
      <c r="O296" s="357">
        <v>1053</v>
      </c>
      <c r="P296" s="357">
        <v>1053</v>
      </c>
      <c r="Q296" s="357">
        <v>1053</v>
      </c>
      <c r="R296" s="357">
        <v>1053.4592</v>
      </c>
      <c r="S296" s="357">
        <v>1053</v>
      </c>
      <c r="T296" s="357">
        <v>1053</v>
      </c>
      <c r="U296" s="357">
        <v>1053</v>
      </c>
      <c r="X296" s="357"/>
      <c r="Y296" s="499"/>
    </row>
    <row r="297" spans="1:25" ht="18">
      <c r="A297" s="349">
        <v>268</v>
      </c>
      <c r="B297" s="353" t="s">
        <v>262</v>
      </c>
      <c r="C297" s="349" t="s">
        <v>366</v>
      </c>
      <c r="D297" s="357">
        <v>284</v>
      </c>
      <c r="E297" s="357">
        <v>284</v>
      </c>
      <c r="F297" s="357">
        <v>284</v>
      </c>
      <c r="G297" s="357">
        <v>284</v>
      </c>
      <c r="H297" s="357">
        <v>284</v>
      </c>
      <c r="I297" s="357">
        <v>284</v>
      </c>
      <c r="J297" s="357">
        <v>284.12799999999999</v>
      </c>
      <c r="K297" s="357">
        <v>284.12799999999999</v>
      </c>
      <c r="L297" s="357">
        <v>284</v>
      </c>
      <c r="M297" s="357">
        <v>284</v>
      </c>
      <c r="N297" s="357">
        <v>325</v>
      </c>
      <c r="O297" s="357">
        <v>284</v>
      </c>
      <c r="P297" s="357">
        <v>284</v>
      </c>
      <c r="Q297" s="357">
        <v>284</v>
      </c>
      <c r="R297" s="357">
        <v>284.12799999999999</v>
      </c>
      <c r="S297" s="357">
        <v>284</v>
      </c>
      <c r="T297" s="357">
        <v>284</v>
      </c>
      <c r="U297" s="357">
        <v>284</v>
      </c>
      <c r="X297" s="357"/>
      <c r="Y297" s="499"/>
    </row>
    <row r="298" spans="1:25">
      <c r="A298" s="349">
        <v>269</v>
      </c>
      <c r="B298" s="353" t="s">
        <v>262</v>
      </c>
      <c r="C298" s="349" t="s">
        <v>365</v>
      </c>
      <c r="D298" s="357">
        <v>284</v>
      </c>
      <c r="E298" s="357">
        <v>284</v>
      </c>
      <c r="F298" s="357">
        <v>284</v>
      </c>
      <c r="G298" s="357">
        <v>284</v>
      </c>
      <c r="H298" s="357">
        <v>284</v>
      </c>
      <c r="I298" s="357">
        <v>284</v>
      </c>
      <c r="J298" s="357">
        <v>284.12799999999999</v>
      </c>
      <c r="K298" s="357">
        <v>284.12799999999999</v>
      </c>
      <c r="L298" s="357">
        <v>284</v>
      </c>
      <c r="M298" s="357">
        <v>284</v>
      </c>
      <c r="N298" s="357">
        <v>325</v>
      </c>
      <c r="O298" s="357">
        <v>284</v>
      </c>
      <c r="P298" s="357">
        <v>284</v>
      </c>
      <c r="Q298" s="357">
        <v>284</v>
      </c>
      <c r="R298" s="357">
        <v>284.12799999999999</v>
      </c>
      <c r="S298" s="357">
        <v>284</v>
      </c>
      <c r="T298" s="357">
        <v>284</v>
      </c>
      <c r="U298" s="357">
        <v>284</v>
      </c>
      <c r="X298" s="357"/>
      <c r="Y298" s="499"/>
    </row>
    <row r="299" spans="1:25" ht="18">
      <c r="A299" s="349">
        <v>270</v>
      </c>
      <c r="B299" s="353" t="s">
        <v>263</v>
      </c>
      <c r="C299" s="349" t="s">
        <v>366</v>
      </c>
      <c r="D299" s="357">
        <v>220</v>
      </c>
      <c r="E299" s="357">
        <v>220</v>
      </c>
      <c r="F299" s="357">
        <v>220</v>
      </c>
      <c r="G299" s="357">
        <v>220</v>
      </c>
      <c r="H299" s="357">
        <v>220</v>
      </c>
      <c r="I299" s="357">
        <v>220</v>
      </c>
      <c r="J299" s="357">
        <v>219.65280000000001</v>
      </c>
      <c r="K299" s="357">
        <v>219.65280000000001</v>
      </c>
      <c r="L299" s="357">
        <v>220</v>
      </c>
      <c r="M299" s="357">
        <v>220</v>
      </c>
      <c r="N299" s="357">
        <v>251</v>
      </c>
      <c r="O299" s="357">
        <v>220</v>
      </c>
      <c r="P299" s="357">
        <v>220</v>
      </c>
      <c r="Q299" s="357">
        <v>220</v>
      </c>
      <c r="R299" s="357">
        <v>219.65280000000001</v>
      </c>
      <c r="S299" s="357">
        <v>220</v>
      </c>
      <c r="T299" s="357">
        <v>220</v>
      </c>
      <c r="U299" s="357">
        <v>220</v>
      </c>
      <c r="X299" s="357"/>
      <c r="Y299" s="499"/>
    </row>
    <row r="300" spans="1:25">
      <c r="A300" s="349">
        <v>271</v>
      </c>
      <c r="B300" s="353" t="s">
        <v>263</v>
      </c>
      <c r="C300" s="349" t="s">
        <v>365</v>
      </c>
      <c r="D300" s="357">
        <v>220</v>
      </c>
      <c r="E300" s="357">
        <v>220</v>
      </c>
      <c r="F300" s="357">
        <v>220</v>
      </c>
      <c r="G300" s="357">
        <v>220</v>
      </c>
      <c r="H300" s="357">
        <v>220</v>
      </c>
      <c r="I300" s="357">
        <v>220</v>
      </c>
      <c r="J300" s="357">
        <v>219.65280000000001</v>
      </c>
      <c r="K300" s="357">
        <v>219.65280000000001</v>
      </c>
      <c r="L300" s="357">
        <v>220</v>
      </c>
      <c r="M300" s="357">
        <v>220</v>
      </c>
      <c r="N300" s="357">
        <v>251</v>
      </c>
      <c r="O300" s="357">
        <v>220</v>
      </c>
      <c r="P300" s="357">
        <v>220</v>
      </c>
      <c r="Q300" s="357">
        <v>220</v>
      </c>
      <c r="R300" s="357">
        <v>219.65280000000001</v>
      </c>
      <c r="S300" s="357">
        <v>220</v>
      </c>
      <c r="T300" s="357">
        <v>220</v>
      </c>
      <c r="U300" s="357">
        <v>220</v>
      </c>
      <c r="X300" s="357"/>
      <c r="Y300" s="499"/>
    </row>
    <row r="301" spans="1:25" ht="18">
      <c r="A301" s="349">
        <v>272</v>
      </c>
      <c r="B301" s="353" t="s">
        <v>264</v>
      </c>
      <c r="C301" s="349" t="s">
        <v>366</v>
      </c>
      <c r="D301" s="357">
        <v>588</v>
      </c>
      <c r="E301" s="357">
        <v>588</v>
      </c>
      <c r="F301" s="357">
        <v>588</v>
      </c>
      <c r="G301" s="357">
        <v>588</v>
      </c>
      <c r="H301" s="357">
        <v>588</v>
      </c>
      <c r="I301" s="357">
        <v>588</v>
      </c>
      <c r="J301" s="357">
        <v>587.92639999999994</v>
      </c>
      <c r="K301" s="357">
        <v>587.92639999999994</v>
      </c>
      <c r="L301" s="357">
        <v>588</v>
      </c>
      <c r="M301" s="357">
        <v>588</v>
      </c>
      <c r="N301" s="357">
        <v>819</v>
      </c>
      <c r="O301" s="357">
        <v>588</v>
      </c>
      <c r="P301" s="357">
        <v>756</v>
      </c>
      <c r="Q301" s="357">
        <v>756</v>
      </c>
      <c r="R301" s="357">
        <v>756.21759999999995</v>
      </c>
      <c r="S301" s="357">
        <v>756</v>
      </c>
      <c r="T301" s="357">
        <v>756</v>
      </c>
      <c r="U301" s="357">
        <v>756</v>
      </c>
      <c r="X301" s="357"/>
      <c r="Y301" s="499"/>
    </row>
    <row r="302" spans="1:25">
      <c r="A302" s="349">
        <v>273</v>
      </c>
      <c r="B302" s="353" t="s">
        <v>264</v>
      </c>
      <c r="C302" s="349" t="s">
        <v>365</v>
      </c>
      <c r="D302" s="357">
        <v>756</v>
      </c>
      <c r="E302" s="357">
        <v>756</v>
      </c>
      <c r="F302" s="357">
        <v>756</v>
      </c>
      <c r="G302" s="357">
        <v>756</v>
      </c>
      <c r="H302" s="357">
        <v>756</v>
      </c>
      <c r="I302" s="357">
        <v>756</v>
      </c>
      <c r="J302" s="357">
        <v>756.21759999999995</v>
      </c>
      <c r="K302" s="357">
        <v>756.21759999999995</v>
      </c>
      <c r="L302" s="357">
        <v>756</v>
      </c>
      <c r="M302" s="357">
        <v>756</v>
      </c>
      <c r="N302" s="357">
        <v>864</v>
      </c>
      <c r="O302" s="357">
        <v>756</v>
      </c>
      <c r="P302" s="357">
        <v>756</v>
      </c>
      <c r="Q302" s="357">
        <v>756</v>
      </c>
      <c r="R302" s="357">
        <v>756.21759999999995</v>
      </c>
      <c r="S302" s="357">
        <v>756</v>
      </c>
      <c r="T302" s="357">
        <v>756</v>
      </c>
      <c r="U302" s="357">
        <v>756</v>
      </c>
      <c r="X302" s="357"/>
      <c r="Y302" s="499"/>
    </row>
    <row r="303" spans="1:25" ht="18">
      <c r="A303" s="349">
        <v>274</v>
      </c>
      <c r="B303" s="353" t="s">
        <v>265</v>
      </c>
      <c r="C303" s="349" t="s">
        <v>366</v>
      </c>
      <c r="D303" s="357">
        <v>592</v>
      </c>
      <c r="E303" s="357">
        <v>592</v>
      </c>
      <c r="F303" s="357">
        <v>592</v>
      </c>
      <c r="G303" s="357">
        <v>592</v>
      </c>
      <c r="H303" s="357">
        <v>592</v>
      </c>
      <c r="I303" s="357">
        <v>592</v>
      </c>
      <c r="J303" s="357">
        <v>592.29759999999999</v>
      </c>
      <c r="K303" s="357">
        <v>592.29759999999999</v>
      </c>
      <c r="L303" s="357">
        <v>592</v>
      </c>
      <c r="M303" s="357">
        <v>592</v>
      </c>
      <c r="N303" s="357">
        <v>1391</v>
      </c>
      <c r="O303" s="357">
        <v>592</v>
      </c>
      <c r="P303" s="357">
        <v>1283</v>
      </c>
      <c r="Q303" s="357">
        <v>1283</v>
      </c>
      <c r="R303" s="357">
        <v>1282.9472000000001</v>
      </c>
      <c r="S303" s="357">
        <v>1283</v>
      </c>
      <c r="T303" s="357">
        <v>1283</v>
      </c>
      <c r="U303" s="357">
        <v>1283</v>
      </c>
      <c r="X303" s="357"/>
      <c r="Y303" s="499"/>
    </row>
    <row r="304" spans="1:25">
      <c r="A304" s="349">
        <v>275</v>
      </c>
      <c r="B304" s="353" t="s">
        <v>265</v>
      </c>
      <c r="C304" s="349" t="s">
        <v>365</v>
      </c>
      <c r="D304" s="357">
        <v>1283</v>
      </c>
      <c r="E304" s="357">
        <v>1283</v>
      </c>
      <c r="F304" s="357">
        <v>1283</v>
      </c>
      <c r="G304" s="357">
        <v>1283</v>
      </c>
      <c r="H304" s="357">
        <v>1283</v>
      </c>
      <c r="I304" s="357">
        <v>1283</v>
      </c>
      <c r="J304" s="357">
        <v>1282.9472000000001</v>
      </c>
      <c r="K304" s="357">
        <v>1282.9472000000001</v>
      </c>
      <c r="L304" s="357">
        <v>1283</v>
      </c>
      <c r="M304" s="357">
        <v>1283</v>
      </c>
      <c r="N304" s="357">
        <v>1465</v>
      </c>
      <c r="O304" s="357">
        <v>1283</v>
      </c>
      <c r="P304" s="357">
        <v>1283</v>
      </c>
      <c r="Q304" s="357">
        <v>1283</v>
      </c>
      <c r="R304" s="357">
        <v>1282.9472000000001</v>
      </c>
      <c r="S304" s="357">
        <v>1283</v>
      </c>
      <c r="T304" s="357">
        <v>1283</v>
      </c>
      <c r="U304" s="357">
        <v>1283</v>
      </c>
      <c r="X304" s="357"/>
      <c r="Y304" s="499"/>
    </row>
    <row r="305" spans="1:25" ht="18">
      <c r="A305" s="349">
        <v>276</v>
      </c>
      <c r="B305" s="353" t="s">
        <v>266</v>
      </c>
      <c r="C305" s="349" t="s">
        <v>366</v>
      </c>
      <c r="D305" s="357">
        <v>731</v>
      </c>
      <c r="E305" s="357">
        <v>731</v>
      </c>
      <c r="F305" s="357">
        <v>731</v>
      </c>
      <c r="G305" s="357">
        <v>731</v>
      </c>
      <c r="H305" s="357">
        <v>731</v>
      </c>
      <c r="I305" s="357">
        <v>731</v>
      </c>
      <c r="J305" s="357">
        <v>731.08320000000003</v>
      </c>
      <c r="K305" s="357">
        <v>731.08320000000003</v>
      </c>
      <c r="L305" s="357">
        <v>731</v>
      </c>
      <c r="M305" s="357">
        <v>731</v>
      </c>
      <c r="N305" s="357">
        <v>1885</v>
      </c>
      <c r="O305" s="357">
        <v>731</v>
      </c>
      <c r="P305" s="357">
        <v>1649</v>
      </c>
      <c r="Q305" s="357">
        <v>1649</v>
      </c>
      <c r="R305" s="357">
        <v>1649.0352</v>
      </c>
      <c r="S305" s="357">
        <v>1649</v>
      </c>
      <c r="T305" s="357">
        <v>1649</v>
      </c>
      <c r="U305" s="357">
        <v>1649</v>
      </c>
      <c r="X305" s="357"/>
      <c r="Y305" s="499"/>
    </row>
    <row r="306" spans="1:25">
      <c r="A306" s="349">
        <v>277</v>
      </c>
      <c r="B306" s="353" t="s">
        <v>266</v>
      </c>
      <c r="C306" s="349" t="s">
        <v>365</v>
      </c>
      <c r="D306" s="357">
        <v>1649</v>
      </c>
      <c r="E306" s="357">
        <v>1649</v>
      </c>
      <c r="F306" s="357">
        <v>1649</v>
      </c>
      <c r="G306" s="357">
        <v>1649</v>
      </c>
      <c r="H306" s="357">
        <v>1649</v>
      </c>
      <c r="I306" s="357">
        <v>1649</v>
      </c>
      <c r="J306" s="357">
        <v>1649.0352</v>
      </c>
      <c r="K306" s="357">
        <v>1649.0352</v>
      </c>
      <c r="L306" s="357">
        <v>1649</v>
      </c>
      <c r="M306" s="357">
        <v>1649</v>
      </c>
      <c r="N306" s="357">
        <v>1885</v>
      </c>
      <c r="O306" s="357">
        <v>1649</v>
      </c>
      <c r="P306" s="357">
        <v>1649</v>
      </c>
      <c r="Q306" s="357">
        <v>1649</v>
      </c>
      <c r="R306" s="357">
        <v>1649.0352</v>
      </c>
      <c r="S306" s="357">
        <v>1649</v>
      </c>
      <c r="T306" s="357">
        <v>1649</v>
      </c>
      <c r="U306" s="357">
        <v>1649</v>
      </c>
      <c r="X306" s="357"/>
      <c r="Y306" s="499"/>
    </row>
    <row r="307" spans="1:25" ht="18">
      <c r="A307" s="349">
        <v>278</v>
      </c>
      <c r="B307" s="353" t="s">
        <v>267</v>
      </c>
      <c r="C307" s="349" t="s">
        <v>366</v>
      </c>
      <c r="D307" s="357">
        <v>1020</v>
      </c>
      <c r="E307" s="357">
        <v>1020</v>
      </c>
      <c r="F307" s="357">
        <v>1020</v>
      </c>
      <c r="G307" s="357">
        <v>1020</v>
      </c>
      <c r="H307" s="357">
        <v>1020</v>
      </c>
      <c r="I307" s="357">
        <v>1020</v>
      </c>
      <c r="J307" s="357">
        <v>1019.5824</v>
      </c>
      <c r="K307" s="357">
        <v>1019.5824</v>
      </c>
      <c r="L307" s="357">
        <v>1020</v>
      </c>
      <c r="M307" s="357">
        <v>1020</v>
      </c>
      <c r="N307" s="357">
        <v>1465</v>
      </c>
      <c r="O307" s="357">
        <v>1020</v>
      </c>
      <c r="P307" s="357">
        <v>1283</v>
      </c>
      <c r="Q307" s="357">
        <v>1283</v>
      </c>
      <c r="R307" s="357">
        <v>1282.9472000000001</v>
      </c>
      <c r="S307" s="357">
        <v>1283</v>
      </c>
      <c r="T307" s="357">
        <v>1283</v>
      </c>
      <c r="U307" s="357">
        <v>1283</v>
      </c>
      <c r="X307" s="357"/>
      <c r="Y307" s="499"/>
    </row>
    <row r="308" spans="1:25">
      <c r="A308" s="349">
        <v>279</v>
      </c>
      <c r="B308" s="353" t="s">
        <v>267</v>
      </c>
      <c r="C308" s="349" t="s">
        <v>365</v>
      </c>
      <c r="D308" s="357">
        <v>1283</v>
      </c>
      <c r="E308" s="357">
        <v>1283</v>
      </c>
      <c r="F308" s="357">
        <v>1283</v>
      </c>
      <c r="G308" s="357">
        <v>1283</v>
      </c>
      <c r="H308" s="357">
        <v>1283</v>
      </c>
      <c r="I308" s="357">
        <v>1283</v>
      </c>
      <c r="J308" s="357">
        <v>1282.9472000000001</v>
      </c>
      <c r="K308" s="357">
        <v>1282.9472000000001</v>
      </c>
      <c r="L308" s="357">
        <v>1283</v>
      </c>
      <c r="M308" s="357">
        <v>1283</v>
      </c>
      <c r="N308" s="357">
        <v>1465</v>
      </c>
      <c r="O308" s="357">
        <v>1283</v>
      </c>
      <c r="P308" s="357">
        <v>1283</v>
      </c>
      <c r="Q308" s="357">
        <v>1283</v>
      </c>
      <c r="R308" s="357">
        <v>1282.9472000000001</v>
      </c>
      <c r="S308" s="357">
        <v>1283</v>
      </c>
      <c r="T308" s="357">
        <v>1283</v>
      </c>
      <c r="U308" s="357">
        <v>1283</v>
      </c>
      <c r="X308" s="357"/>
      <c r="Y308" s="499"/>
    </row>
    <row r="309" spans="1:25">
      <c r="A309" s="349">
        <v>280</v>
      </c>
      <c r="B309" s="353" t="s">
        <v>268</v>
      </c>
      <c r="C309" s="349" t="s">
        <v>365</v>
      </c>
      <c r="D309" s="357">
        <v>2194</v>
      </c>
      <c r="E309" s="357">
        <v>2194</v>
      </c>
      <c r="F309" s="357">
        <v>2194</v>
      </c>
      <c r="G309" s="357">
        <v>2194</v>
      </c>
      <c r="H309" s="357">
        <v>2194</v>
      </c>
      <c r="I309" s="357">
        <v>2194</v>
      </c>
      <c r="J309" s="357">
        <v>2194.3424</v>
      </c>
      <c r="K309" s="357">
        <v>2194.3424</v>
      </c>
      <c r="L309" s="357">
        <v>2194</v>
      </c>
      <c r="M309" s="357">
        <v>2194</v>
      </c>
      <c r="N309" s="357">
        <v>2508</v>
      </c>
      <c r="O309" s="357">
        <v>2194</v>
      </c>
      <c r="P309" s="357">
        <v>2194</v>
      </c>
      <c r="Q309" s="357">
        <v>2194</v>
      </c>
      <c r="R309" s="357">
        <v>2194.3424</v>
      </c>
      <c r="S309" s="357">
        <v>2194</v>
      </c>
      <c r="T309" s="357">
        <v>2194</v>
      </c>
      <c r="U309" s="357">
        <v>2194</v>
      </c>
      <c r="X309" s="357"/>
      <c r="Y309" s="499"/>
    </row>
    <row r="310" spans="1:25" ht="18">
      <c r="A310" s="349">
        <v>281</v>
      </c>
      <c r="B310" s="353" t="s">
        <v>269</v>
      </c>
      <c r="C310" s="349" t="s">
        <v>366</v>
      </c>
      <c r="D310" s="357">
        <v>9265</v>
      </c>
      <c r="E310" s="357">
        <v>9265</v>
      </c>
      <c r="F310" s="357">
        <v>9265</v>
      </c>
      <c r="G310" s="357">
        <v>9265</v>
      </c>
      <c r="H310" s="357">
        <v>9265</v>
      </c>
      <c r="I310" s="357">
        <v>9265</v>
      </c>
      <c r="J310" s="357">
        <v>9264.7584000000006</v>
      </c>
      <c r="K310" s="357">
        <v>9264.7584000000006</v>
      </c>
      <c r="L310" s="357">
        <v>9265</v>
      </c>
      <c r="M310" s="357">
        <v>9265</v>
      </c>
      <c r="N310" s="357">
        <v>9265</v>
      </c>
      <c r="O310" s="357">
        <v>10876</v>
      </c>
      <c r="P310" s="357">
        <v>10876</v>
      </c>
      <c r="Q310" s="357">
        <v>10876</v>
      </c>
      <c r="R310" s="357">
        <v>10875.545599999999</v>
      </c>
      <c r="S310" s="357">
        <v>10876</v>
      </c>
      <c r="T310" s="357">
        <v>10876</v>
      </c>
      <c r="U310" s="357">
        <v>10876</v>
      </c>
      <c r="X310" s="357"/>
      <c r="Y310" s="499"/>
    </row>
    <row r="311" spans="1:25">
      <c r="A311" s="349">
        <v>282</v>
      </c>
      <c r="B311" s="353" t="s">
        <v>269</v>
      </c>
      <c r="C311" s="349" t="s">
        <v>365</v>
      </c>
      <c r="D311" s="357">
        <v>10876</v>
      </c>
      <c r="E311" s="357">
        <v>10876</v>
      </c>
      <c r="F311" s="357">
        <v>10876</v>
      </c>
      <c r="G311" s="357">
        <v>10876</v>
      </c>
      <c r="H311" s="357">
        <v>10876</v>
      </c>
      <c r="I311" s="357">
        <v>10876</v>
      </c>
      <c r="J311" s="357">
        <v>10875.545599999999</v>
      </c>
      <c r="K311" s="357">
        <v>10875.545599999999</v>
      </c>
      <c r="L311" s="357">
        <v>10876</v>
      </c>
      <c r="M311" s="357">
        <v>10876</v>
      </c>
      <c r="N311" s="357">
        <v>12430</v>
      </c>
      <c r="O311" s="357">
        <v>10876</v>
      </c>
      <c r="P311" s="357">
        <v>10876</v>
      </c>
      <c r="Q311" s="357">
        <v>10876</v>
      </c>
      <c r="R311" s="357">
        <v>10875.545599999999</v>
      </c>
      <c r="S311" s="357">
        <v>10876</v>
      </c>
      <c r="T311" s="357">
        <v>10876</v>
      </c>
      <c r="U311" s="357">
        <v>10876</v>
      </c>
      <c r="X311" s="357"/>
      <c r="Y311" s="499"/>
    </row>
    <row r="312" spans="1:25" ht="18">
      <c r="A312" s="349">
        <v>283</v>
      </c>
      <c r="B312" s="353" t="s">
        <v>270</v>
      </c>
      <c r="C312" s="349" t="s">
        <v>366</v>
      </c>
      <c r="D312" s="357">
        <v>11601</v>
      </c>
      <c r="E312" s="357">
        <v>11601</v>
      </c>
      <c r="F312" s="357">
        <v>11601</v>
      </c>
      <c r="G312" s="357">
        <v>11601</v>
      </c>
      <c r="H312" s="357">
        <v>11601</v>
      </c>
      <c r="I312" s="357">
        <v>11601</v>
      </c>
      <c r="J312" s="357">
        <v>11601.1648</v>
      </c>
      <c r="K312" s="357">
        <v>11601.1648</v>
      </c>
      <c r="L312" s="357">
        <v>11601</v>
      </c>
      <c r="M312" s="357">
        <v>11601</v>
      </c>
      <c r="N312" s="357">
        <v>13258</v>
      </c>
      <c r="O312" s="357">
        <v>11601</v>
      </c>
      <c r="P312" s="357">
        <v>11601</v>
      </c>
      <c r="Q312" s="357">
        <v>11601</v>
      </c>
      <c r="R312" s="357">
        <v>11601.1648</v>
      </c>
      <c r="S312" s="357">
        <v>11601</v>
      </c>
      <c r="T312" s="357">
        <v>11601</v>
      </c>
      <c r="U312" s="357">
        <v>11601</v>
      </c>
      <c r="X312" s="357"/>
      <c r="Y312" s="499"/>
    </row>
    <row r="313" spans="1:25">
      <c r="A313" s="349">
        <v>284</v>
      </c>
      <c r="B313" s="353" t="s">
        <v>270</v>
      </c>
      <c r="C313" s="349" t="s">
        <v>365</v>
      </c>
      <c r="D313" s="357">
        <v>11601</v>
      </c>
      <c r="E313" s="357">
        <v>11601</v>
      </c>
      <c r="F313" s="357">
        <v>11601</v>
      </c>
      <c r="G313" s="357">
        <v>11601</v>
      </c>
      <c r="H313" s="357">
        <v>11601</v>
      </c>
      <c r="I313" s="357">
        <v>11601</v>
      </c>
      <c r="J313" s="357">
        <v>11601.1648</v>
      </c>
      <c r="K313" s="357">
        <v>11601.1648</v>
      </c>
      <c r="L313" s="357">
        <v>11601</v>
      </c>
      <c r="M313" s="357">
        <v>11601</v>
      </c>
      <c r="N313" s="357">
        <v>13258</v>
      </c>
      <c r="O313" s="357">
        <v>11601</v>
      </c>
      <c r="P313" s="357">
        <v>11601</v>
      </c>
      <c r="Q313" s="357">
        <v>11601</v>
      </c>
      <c r="R313" s="357">
        <v>11601.1648</v>
      </c>
      <c r="S313" s="357">
        <v>11601</v>
      </c>
      <c r="T313" s="357">
        <v>11601</v>
      </c>
      <c r="U313" s="357">
        <v>11601</v>
      </c>
      <c r="X313" s="357"/>
      <c r="Y313" s="499"/>
    </row>
    <row r="314" spans="1:25" ht="18">
      <c r="A314" s="349">
        <v>285</v>
      </c>
      <c r="B314" s="353" t="s">
        <v>271</v>
      </c>
      <c r="C314" s="349" t="s">
        <v>366</v>
      </c>
      <c r="D314" s="357">
        <v>23776</v>
      </c>
      <c r="E314" s="357">
        <v>23776</v>
      </c>
      <c r="F314" s="357">
        <v>23776</v>
      </c>
      <c r="G314" s="357">
        <v>23776</v>
      </c>
      <c r="H314" s="357">
        <v>23776</v>
      </c>
      <c r="I314" s="357">
        <v>23776</v>
      </c>
      <c r="J314" s="357">
        <v>23776.049599999998</v>
      </c>
      <c r="K314" s="357">
        <v>23776.049599999998</v>
      </c>
      <c r="L314" s="357">
        <v>23776</v>
      </c>
      <c r="M314" s="357">
        <v>23776</v>
      </c>
      <c r="N314" s="357">
        <v>27172</v>
      </c>
      <c r="O314" s="357">
        <v>23776</v>
      </c>
      <c r="P314" s="357">
        <v>23776</v>
      </c>
      <c r="Q314" s="357">
        <v>23776</v>
      </c>
      <c r="R314" s="357">
        <v>23776.049599999998</v>
      </c>
      <c r="S314" s="357">
        <v>23776</v>
      </c>
      <c r="T314" s="357">
        <v>23776</v>
      </c>
      <c r="U314" s="357">
        <v>23776</v>
      </c>
      <c r="X314" s="357"/>
      <c r="Y314" s="499"/>
    </row>
    <row r="315" spans="1:25">
      <c r="A315" s="349">
        <v>286</v>
      </c>
      <c r="B315" s="353" t="s">
        <v>271</v>
      </c>
      <c r="C315" s="349" t="s">
        <v>365</v>
      </c>
      <c r="D315" s="357">
        <v>23776</v>
      </c>
      <c r="E315" s="357">
        <v>23776</v>
      </c>
      <c r="F315" s="357">
        <v>23776</v>
      </c>
      <c r="G315" s="357">
        <v>23776</v>
      </c>
      <c r="H315" s="357">
        <v>23776</v>
      </c>
      <c r="I315" s="357">
        <v>23776</v>
      </c>
      <c r="J315" s="357">
        <v>23776.049599999998</v>
      </c>
      <c r="K315" s="357">
        <v>23776.049599999998</v>
      </c>
      <c r="L315" s="357">
        <v>23776</v>
      </c>
      <c r="M315" s="357">
        <v>23776</v>
      </c>
      <c r="N315" s="357">
        <v>27172</v>
      </c>
      <c r="O315" s="357">
        <v>23776</v>
      </c>
      <c r="P315" s="357">
        <v>23776</v>
      </c>
      <c r="Q315" s="357">
        <v>23776</v>
      </c>
      <c r="R315" s="357">
        <v>23776.049599999998</v>
      </c>
      <c r="S315" s="357">
        <v>23776</v>
      </c>
      <c r="T315" s="357">
        <v>23776</v>
      </c>
      <c r="U315" s="357">
        <v>23776</v>
      </c>
      <c r="X315" s="357"/>
      <c r="Y315" s="499"/>
    </row>
    <row r="316" spans="1:25" ht="18">
      <c r="A316" s="349">
        <v>287</v>
      </c>
      <c r="B316" s="353" t="s">
        <v>272</v>
      </c>
      <c r="C316" s="349" t="s">
        <v>366</v>
      </c>
      <c r="D316" s="357">
        <v>22641</v>
      </c>
      <c r="E316" s="357">
        <v>22641</v>
      </c>
      <c r="F316" s="357">
        <v>22641</v>
      </c>
      <c r="G316" s="357">
        <v>22641</v>
      </c>
      <c r="H316" s="357">
        <v>22641</v>
      </c>
      <c r="I316" s="357">
        <v>22641</v>
      </c>
      <c r="J316" s="357">
        <v>22640.630399999998</v>
      </c>
      <c r="K316" s="357">
        <v>22640.630399999998</v>
      </c>
      <c r="L316" s="357">
        <v>22641</v>
      </c>
      <c r="M316" s="357">
        <v>22641</v>
      </c>
      <c r="N316" s="357">
        <v>25874</v>
      </c>
      <c r="O316" s="357">
        <v>22641</v>
      </c>
      <c r="P316" s="357">
        <v>22641</v>
      </c>
      <c r="Q316" s="357">
        <v>22641</v>
      </c>
      <c r="R316" s="357">
        <v>22640.630399999998</v>
      </c>
      <c r="S316" s="357">
        <v>22641</v>
      </c>
      <c r="T316" s="357">
        <v>22641</v>
      </c>
      <c r="U316" s="357">
        <v>22641</v>
      </c>
      <c r="X316" s="357"/>
      <c r="Y316" s="499"/>
    </row>
    <row r="317" spans="1:25">
      <c r="A317" s="349">
        <v>288</v>
      </c>
      <c r="B317" s="353" t="s">
        <v>272</v>
      </c>
      <c r="C317" s="349" t="s">
        <v>365</v>
      </c>
      <c r="D317" s="357">
        <v>22641</v>
      </c>
      <c r="E317" s="357">
        <v>22641</v>
      </c>
      <c r="F317" s="357">
        <v>22641</v>
      </c>
      <c r="G317" s="357">
        <v>22641</v>
      </c>
      <c r="H317" s="357">
        <v>22641</v>
      </c>
      <c r="I317" s="357">
        <v>22641</v>
      </c>
      <c r="J317" s="357">
        <v>22640.630399999998</v>
      </c>
      <c r="K317" s="357">
        <v>22640.630399999998</v>
      </c>
      <c r="L317" s="357">
        <v>22641</v>
      </c>
      <c r="M317" s="357">
        <v>22641</v>
      </c>
      <c r="N317" s="357">
        <v>25874</v>
      </c>
      <c r="O317" s="357">
        <v>22641</v>
      </c>
      <c r="P317" s="357">
        <v>22641</v>
      </c>
      <c r="Q317" s="357">
        <v>22641</v>
      </c>
      <c r="R317" s="357">
        <v>22640.630399999998</v>
      </c>
      <c r="S317" s="357">
        <v>22641</v>
      </c>
      <c r="T317" s="357">
        <v>22641</v>
      </c>
      <c r="U317" s="357">
        <v>22641</v>
      </c>
      <c r="X317" s="357"/>
      <c r="Y317" s="499"/>
    </row>
    <row r="318" spans="1:25" ht="18">
      <c r="A318" s="349">
        <v>289</v>
      </c>
      <c r="B318" s="353" t="s">
        <v>273</v>
      </c>
      <c r="C318" s="349" t="s">
        <v>366</v>
      </c>
      <c r="D318" s="357">
        <v>2592</v>
      </c>
      <c r="E318" s="357">
        <v>2592</v>
      </c>
      <c r="F318" s="357">
        <v>2592</v>
      </c>
      <c r="G318" s="357">
        <v>2592</v>
      </c>
      <c r="H318" s="357">
        <v>2592</v>
      </c>
      <c r="I318" s="357">
        <v>2592</v>
      </c>
      <c r="J318" s="357">
        <v>2592.1215999999999</v>
      </c>
      <c r="K318" s="357">
        <v>2592.1215999999999</v>
      </c>
      <c r="L318" s="357">
        <v>2592</v>
      </c>
      <c r="M318" s="357">
        <v>2592</v>
      </c>
      <c r="N318" s="357">
        <v>2961</v>
      </c>
      <c r="O318" s="357">
        <v>2592</v>
      </c>
      <c r="P318" s="357">
        <v>2592</v>
      </c>
      <c r="Q318" s="357">
        <v>2592</v>
      </c>
      <c r="R318" s="357">
        <v>2592.1215999999999</v>
      </c>
      <c r="S318" s="357">
        <v>2592</v>
      </c>
      <c r="T318" s="357">
        <v>2592</v>
      </c>
      <c r="U318" s="357">
        <v>2592</v>
      </c>
      <c r="X318" s="357"/>
      <c r="Y318" s="499"/>
    </row>
    <row r="319" spans="1:25">
      <c r="A319" s="349">
        <v>290</v>
      </c>
      <c r="B319" s="353" t="s">
        <v>273</v>
      </c>
      <c r="C319" s="349" t="s">
        <v>365</v>
      </c>
      <c r="D319" s="357">
        <v>2592</v>
      </c>
      <c r="E319" s="357">
        <v>2592</v>
      </c>
      <c r="F319" s="357">
        <v>2592</v>
      </c>
      <c r="G319" s="357">
        <v>2592</v>
      </c>
      <c r="H319" s="357">
        <v>2592</v>
      </c>
      <c r="I319" s="357">
        <v>2592</v>
      </c>
      <c r="J319" s="357">
        <v>2592.1215999999999</v>
      </c>
      <c r="K319" s="357">
        <v>2592.1215999999999</v>
      </c>
      <c r="L319" s="357">
        <v>2592</v>
      </c>
      <c r="M319" s="357">
        <v>2592</v>
      </c>
      <c r="N319" s="357">
        <v>2961</v>
      </c>
      <c r="O319" s="357">
        <v>2592</v>
      </c>
      <c r="P319" s="357">
        <v>2592</v>
      </c>
      <c r="Q319" s="357">
        <v>2592</v>
      </c>
      <c r="R319" s="357">
        <v>2592.1215999999999</v>
      </c>
      <c r="S319" s="357">
        <v>2592</v>
      </c>
      <c r="T319" s="357">
        <v>2592</v>
      </c>
      <c r="U319" s="357">
        <v>2592</v>
      </c>
      <c r="X319" s="357"/>
      <c r="Y319" s="499"/>
    </row>
    <row r="320" spans="1:25" ht="18">
      <c r="A320" s="349">
        <v>291</v>
      </c>
      <c r="B320" s="353" t="s">
        <v>274</v>
      </c>
      <c r="C320" s="349" t="s">
        <v>366</v>
      </c>
      <c r="D320" s="357">
        <v>6139</v>
      </c>
      <c r="E320" s="357">
        <v>6139</v>
      </c>
      <c r="F320" s="357">
        <v>6139</v>
      </c>
      <c r="G320" s="357">
        <v>6139</v>
      </c>
      <c r="H320" s="357">
        <v>6139</v>
      </c>
      <c r="I320" s="357">
        <v>6139</v>
      </c>
      <c r="J320" s="357">
        <v>6139.3504000000003</v>
      </c>
      <c r="K320" s="357">
        <v>6139.3504000000003</v>
      </c>
      <c r="L320" s="357">
        <v>6139</v>
      </c>
      <c r="M320" s="357">
        <v>6139</v>
      </c>
      <c r="N320" s="357">
        <v>5810</v>
      </c>
      <c r="O320" s="357">
        <v>6139</v>
      </c>
      <c r="P320" s="357">
        <v>6139</v>
      </c>
      <c r="Q320" s="357">
        <v>6139</v>
      </c>
      <c r="R320" s="357">
        <v>6139.3504000000003</v>
      </c>
      <c r="S320" s="357">
        <v>6139</v>
      </c>
      <c r="T320" s="357">
        <v>6139</v>
      </c>
      <c r="U320" s="357">
        <v>6139</v>
      </c>
      <c r="X320" s="357"/>
      <c r="Y320" s="499"/>
    </row>
    <row r="321" spans="1:25">
      <c r="A321" s="349">
        <v>292</v>
      </c>
      <c r="B321" s="353" t="s">
        <v>274</v>
      </c>
      <c r="C321" s="349" t="s">
        <v>365</v>
      </c>
      <c r="D321" s="357">
        <v>6139</v>
      </c>
      <c r="E321" s="357">
        <v>6139</v>
      </c>
      <c r="F321" s="357">
        <v>6139</v>
      </c>
      <c r="G321" s="357">
        <v>6139</v>
      </c>
      <c r="H321" s="357">
        <v>6139</v>
      </c>
      <c r="I321" s="357">
        <v>6139</v>
      </c>
      <c r="J321" s="357">
        <v>6139.3504000000003</v>
      </c>
      <c r="K321" s="357">
        <v>6139.3504000000003</v>
      </c>
      <c r="L321" s="357">
        <v>6139</v>
      </c>
      <c r="M321" s="357">
        <v>6139</v>
      </c>
      <c r="N321" s="357">
        <v>7017</v>
      </c>
      <c r="O321" s="357">
        <v>6139</v>
      </c>
      <c r="P321" s="357">
        <v>6139</v>
      </c>
      <c r="Q321" s="357">
        <v>6139</v>
      </c>
      <c r="R321" s="357">
        <v>6139.3504000000003</v>
      </c>
      <c r="S321" s="357">
        <v>6139</v>
      </c>
      <c r="T321" s="357">
        <v>6139</v>
      </c>
      <c r="U321" s="357">
        <v>6139</v>
      </c>
      <c r="X321" s="357"/>
      <c r="Y321" s="499"/>
    </row>
    <row r="322" spans="1:25" ht="18">
      <c r="A322" s="349">
        <v>293</v>
      </c>
      <c r="B322" s="353" t="s">
        <v>275</v>
      </c>
      <c r="C322" s="349" t="s">
        <v>366</v>
      </c>
      <c r="D322" s="357">
        <v>9460</v>
      </c>
      <c r="E322" s="357">
        <v>9067</v>
      </c>
      <c r="F322" s="357">
        <v>9067</v>
      </c>
      <c r="G322" s="357">
        <v>7253</v>
      </c>
      <c r="H322" s="357">
        <v>7174</v>
      </c>
      <c r="I322" s="357">
        <v>8515</v>
      </c>
      <c r="J322" s="357">
        <v>8652.7903999999999</v>
      </c>
      <c r="K322" s="357">
        <v>9460.3696</v>
      </c>
      <c r="L322" s="357">
        <v>7885</v>
      </c>
      <c r="M322" s="357">
        <v>9460</v>
      </c>
      <c r="N322" s="357">
        <v>7096</v>
      </c>
      <c r="O322" s="357">
        <v>10983</v>
      </c>
      <c r="P322" s="357">
        <v>10983</v>
      </c>
      <c r="Q322" s="357">
        <v>10983</v>
      </c>
      <c r="R322" s="357">
        <v>10982.64</v>
      </c>
      <c r="S322" s="357">
        <v>10983</v>
      </c>
      <c r="T322" s="357">
        <v>10983</v>
      </c>
      <c r="U322" s="357">
        <v>10983</v>
      </c>
      <c r="X322" s="357"/>
      <c r="Y322" s="499"/>
    </row>
    <row r="323" spans="1:25">
      <c r="A323" s="349">
        <v>294</v>
      </c>
      <c r="B323" s="353" t="s">
        <v>275</v>
      </c>
      <c r="C323" s="349" t="s">
        <v>365</v>
      </c>
      <c r="D323" s="357">
        <v>11980</v>
      </c>
      <c r="E323" s="357">
        <v>11980</v>
      </c>
      <c r="F323" s="357">
        <v>11980</v>
      </c>
      <c r="G323" s="357">
        <v>11980</v>
      </c>
      <c r="H323" s="357">
        <v>11980</v>
      </c>
      <c r="I323" s="357">
        <v>11980</v>
      </c>
      <c r="J323" s="357">
        <v>11980.366399999999</v>
      </c>
      <c r="K323" s="357">
        <v>11980.366399999999</v>
      </c>
      <c r="L323" s="357">
        <v>11980</v>
      </c>
      <c r="M323" s="357">
        <v>11980</v>
      </c>
      <c r="N323" s="357">
        <v>13692</v>
      </c>
      <c r="O323" s="357">
        <v>11980</v>
      </c>
      <c r="P323" s="357">
        <v>11980</v>
      </c>
      <c r="Q323" s="357">
        <v>11980</v>
      </c>
      <c r="R323" s="357">
        <v>11980.366399999999</v>
      </c>
      <c r="S323" s="357">
        <v>11980</v>
      </c>
      <c r="T323" s="357">
        <v>11980</v>
      </c>
      <c r="U323" s="357">
        <v>11980</v>
      </c>
      <c r="X323" s="357"/>
      <c r="Y323" s="499"/>
    </row>
    <row r="324" spans="1:25" ht="18">
      <c r="A324" s="349">
        <v>295</v>
      </c>
      <c r="B324" s="353" t="s">
        <v>276</v>
      </c>
      <c r="C324" s="349" t="s">
        <v>366</v>
      </c>
      <c r="D324" s="357">
        <v>13580</v>
      </c>
      <c r="E324" s="357">
        <v>13269</v>
      </c>
      <c r="F324" s="357">
        <v>13269</v>
      </c>
      <c r="G324" s="357">
        <v>10614</v>
      </c>
      <c r="H324" s="357">
        <v>10500</v>
      </c>
      <c r="I324" s="357">
        <v>12460</v>
      </c>
      <c r="J324" s="357">
        <v>9889.84</v>
      </c>
      <c r="K324" s="357">
        <v>13580.2256</v>
      </c>
      <c r="L324" s="357">
        <v>11538</v>
      </c>
      <c r="M324" s="357">
        <v>13580</v>
      </c>
      <c r="N324" s="357">
        <v>10384</v>
      </c>
      <c r="O324" s="357">
        <v>13580</v>
      </c>
      <c r="P324" s="357">
        <v>13580</v>
      </c>
      <c r="Q324" s="357">
        <v>13580</v>
      </c>
      <c r="R324" s="357">
        <v>13580.2256</v>
      </c>
      <c r="S324" s="357">
        <v>13580</v>
      </c>
      <c r="T324" s="357">
        <v>13580</v>
      </c>
      <c r="U324" s="357">
        <v>13580</v>
      </c>
      <c r="X324" s="357"/>
      <c r="Y324" s="499"/>
    </row>
    <row r="325" spans="1:25">
      <c r="A325" s="349">
        <v>296</v>
      </c>
      <c r="B325" s="353" t="s">
        <v>276</v>
      </c>
      <c r="C325" s="349" t="s">
        <v>365</v>
      </c>
      <c r="D325" s="357">
        <v>19465</v>
      </c>
      <c r="E325" s="357">
        <v>19465</v>
      </c>
      <c r="F325" s="357">
        <v>19465</v>
      </c>
      <c r="G325" s="357">
        <v>19465</v>
      </c>
      <c r="H325" s="357">
        <v>19465</v>
      </c>
      <c r="I325" s="357">
        <v>19465</v>
      </c>
      <c r="J325" s="357">
        <v>19464.953600000001</v>
      </c>
      <c r="K325" s="357">
        <v>19464.953600000001</v>
      </c>
      <c r="L325" s="357">
        <v>19465</v>
      </c>
      <c r="M325" s="357">
        <v>19465</v>
      </c>
      <c r="N325" s="357">
        <v>22246</v>
      </c>
      <c r="O325" s="357">
        <v>19465</v>
      </c>
      <c r="P325" s="357">
        <v>19465</v>
      </c>
      <c r="Q325" s="357">
        <v>19465</v>
      </c>
      <c r="R325" s="357">
        <v>19464.953600000001</v>
      </c>
      <c r="S325" s="357">
        <v>19465</v>
      </c>
      <c r="T325" s="357">
        <v>19465</v>
      </c>
      <c r="U325" s="357">
        <v>19465</v>
      </c>
      <c r="X325" s="357"/>
      <c r="Y325" s="499"/>
    </row>
    <row r="326" spans="1:25" ht="18">
      <c r="A326" s="349">
        <v>297</v>
      </c>
      <c r="B326" s="353" t="s">
        <v>277</v>
      </c>
      <c r="C326" s="349" t="s">
        <v>366</v>
      </c>
      <c r="D326" s="357">
        <v>12007</v>
      </c>
      <c r="E326" s="357">
        <v>11506</v>
      </c>
      <c r="F326" s="357">
        <v>11506</v>
      </c>
      <c r="G326" s="357">
        <v>9205</v>
      </c>
      <c r="H326" s="357">
        <v>9105</v>
      </c>
      <c r="I326" s="357">
        <v>10806</v>
      </c>
      <c r="J326" s="357">
        <v>11506.091200000001</v>
      </c>
      <c r="K326" s="357">
        <v>12006.5936</v>
      </c>
      <c r="L326" s="357">
        <v>10006</v>
      </c>
      <c r="M326" s="357">
        <v>12007</v>
      </c>
      <c r="N326" s="357">
        <v>9005</v>
      </c>
      <c r="O326" s="357">
        <v>15009</v>
      </c>
      <c r="P326" s="357">
        <v>15009</v>
      </c>
      <c r="Q326" s="357">
        <v>15009</v>
      </c>
      <c r="R326" s="357">
        <v>15008.5152</v>
      </c>
      <c r="S326" s="357">
        <v>15009</v>
      </c>
      <c r="T326" s="357">
        <v>15009</v>
      </c>
      <c r="U326" s="357">
        <v>15009</v>
      </c>
      <c r="X326" s="357"/>
      <c r="Y326" s="499"/>
    </row>
    <row r="327" spans="1:25">
      <c r="A327" s="349">
        <v>298</v>
      </c>
      <c r="B327" s="353" t="s">
        <v>277</v>
      </c>
      <c r="C327" s="349" t="s">
        <v>365</v>
      </c>
      <c r="D327" s="357">
        <v>20071</v>
      </c>
      <c r="E327" s="357">
        <v>20071</v>
      </c>
      <c r="F327" s="357">
        <v>20071</v>
      </c>
      <c r="G327" s="357">
        <v>20071</v>
      </c>
      <c r="H327" s="357">
        <v>20071</v>
      </c>
      <c r="I327" s="357">
        <v>20071</v>
      </c>
      <c r="J327" s="357">
        <v>20071.457600000002</v>
      </c>
      <c r="K327" s="357">
        <v>20071.457600000002</v>
      </c>
      <c r="L327" s="357">
        <v>20071</v>
      </c>
      <c r="M327" s="357">
        <v>20071</v>
      </c>
      <c r="N327" s="357">
        <v>22939</v>
      </c>
      <c r="O327" s="357">
        <v>20071</v>
      </c>
      <c r="P327" s="357">
        <v>20071</v>
      </c>
      <c r="Q327" s="357">
        <v>20071</v>
      </c>
      <c r="R327" s="357">
        <v>20071.457600000002</v>
      </c>
      <c r="S327" s="357">
        <v>20071</v>
      </c>
      <c r="T327" s="357">
        <v>20071</v>
      </c>
      <c r="U327" s="357">
        <v>20071</v>
      </c>
      <c r="X327" s="357"/>
      <c r="Y327" s="499"/>
    </row>
    <row r="328" spans="1:25" ht="18">
      <c r="A328" s="349">
        <v>299</v>
      </c>
      <c r="B328" s="353" t="s">
        <v>278</v>
      </c>
      <c r="C328" s="349" t="s">
        <v>366</v>
      </c>
      <c r="D328" s="357">
        <v>3337</v>
      </c>
      <c r="E328" s="357">
        <v>3337</v>
      </c>
      <c r="F328" s="357">
        <v>3337</v>
      </c>
      <c r="G328" s="357">
        <v>3337</v>
      </c>
      <c r="H328" s="357">
        <v>3337</v>
      </c>
      <c r="I328" s="357">
        <v>3337</v>
      </c>
      <c r="J328" s="357">
        <v>3337.4112</v>
      </c>
      <c r="K328" s="357">
        <v>3337.4112</v>
      </c>
      <c r="L328" s="357">
        <v>3337</v>
      </c>
      <c r="M328" s="357">
        <v>3337</v>
      </c>
      <c r="N328" s="357">
        <v>2967</v>
      </c>
      <c r="O328" s="357">
        <v>4244</v>
      </c>
      <c r="P328" s="357">
        <v>4244</v>
      </c>
      <c r="Q328" s="357">
        <v>4244</v>
      </c>
      <c r="R328" s="357">
        <v>4244.4351999999999</v>
      </c>
      <c r="S328" s="357">
        <v>4244</v>
      </c>
      <c r="T328" s="357">
        <v>4244</v>
      </c>
      <c r="U328" s="357">
        <v>4244</v>
      </c>
      <c r="X328" s="357"/>
      <c r="Y328" s="499"/>
    </row>
    <row r="329" spans="1:25">
      <c r="A329" s="349">
        <v>300</v>
      </c>
      <c r="B329" s="353" t="s">
        <v>278</v>
      </c>
      <c r="C329" s="349" t="s">
        <v>365</v>
      </c>
      <c r="D329" s="357">
        <v>4244</v>
      </c>
      <c r="E329" s="357">
        <v>4244</v>
      </c>
      <c r="F329" s="357">
        <v>4244</v>
      </c>
      <c r="G329" s="357">
        <v>4244</v>
      </c>
      <c r="H329" s="357">
        <v>4244</v>
      </c>
      <c r="I329" s="357">
        <v>4244</v>
      </c>
      <c r="J329" s="357">
        <v>4244.4351999999999</v>
      </c>
      <c r="K329" s="357">
        <v>4244.4351999999999</v>
      </c>
      <c r="L329" s="357">
        <v>4244</v>
      </c>
      <c r="M329" s="357">
        <v>4244</v>
      </c>
      <c r="N329" s="357">
        <v>4851</v>
      </c>
      <c r="O329" s="357">
        <v>4244</v>
      </c>
      <c r="P329" s="357">
        <v>4244</v>
      </c>
      <c r="Q329" s="357">
        <v>4244</v>
      </c>
      <c r="R329" s="357">
        <v>4244.4351999999999</v>
      </c>
      <c r="S329" s="357">
        <v>4244</v>
      </c>
      <c r="T329" s="357">
        <v>4244</v>
      </c>
      <c r="U329" s="357">
        <v>4244</v>
      </c>
      <c r="X329" s="357"/>
      <c r="Y329" s="499"/>
    </row>
    <row r="330" spans="1:25" ht="18">
      <c r="A330" s="349">
        <v>301</v>
      </c>
      <c r="B330" s="353" t="s">
        <v>279</v>
      </c>
      <c r="C330" s="349" t="s">
        <v>366</v>
      </c>
      <c r="D330" s="357">
        <v>4079</v>
      </c>
      <c r="E330" s="357">
        <v>4079</v>
      </c>
      <c r="F330" s="357">
        <v>4079</v>
      </c>
      <c r="G330" s="357">
        <v>4079</v>
      </c>
      <c r="H330" s="357">
        <v>4079</v>
      </c>
      <c r="I330" s="357">
        <v>4079</v>
      </c>
      <c r="J330" s="357">
        <v>4079.4223999999999</v>
      </c>
      <c r="K330" s="357">
        <v>4079.4223999999999</v>
      </c>
      <c r="L330" s="357">
        <v>4079</v>
      </c>
      <c r="M330" s="357">
        <v>4079</v>
      </c>
      <c r="N330" s="357">
        <v>3584</v>
      </c>
      <c r="O330" s="357">
        <v>5759</v>
      </c>
      <c r="P330" s="357">
        <v>5759</v>
      </c>
      <c r="Q330" s="357">
        <v>5759</v>
      </c>
      <c r="R330" s="357">
        <v>5759.0559999999996</v>
      </c>
      <c r="S330" s="357">
        <v>5759</v>
      </c>
      <c r="T330" s="357">
        <v>5759</v>
      </c>
      <c r="U330" s="357">
        <v>5759</v>
      </c>
      <c r="X330" s="357"/>
      <c r="Y330" s="499"/>
    </row>
    <row r="331" spans="1:25">
      <c r="A331" s="349">
        <v>302</v>
      </c>
      <c r="B331" s="353" t="s">
        <v>279</v>
      </c>
      <c r="C331" s="349" t="s">
        <v>365</v>
      </c>
      <c r="D331" s="357">
        <v>5759</v>
      </c>
      <c r="E331" s="357">
        <v>5759</v>
      </c>
      <c r="F331" s="357">
        <v>5759</v>
      </c>
      <c r="G331" s="357">
        <v>5759</v>
      </c>
      <c r="H331" s="357">
        <v>5759</v>
      </c>
      <c r="I331" s="357">
        <v>5759</v>
      </c>
      <c r="J331" s="357">
        <v>5759.0559999999996</v>
      </c>
      <c r="K331" s="357">
        <v>5759.0559999999996</v>
      </c>
      <c r="L331" s="357">
        <v>5759</v>
      </c>
      <c r="M331" s="357">
        <v>5759</v>
      </c>
      <c r="N331" s="357">
        <v>6582</v>
      </c>
      <c r="O331" s="357">
        <v>5759</v>
      </c>
      <c r="P331" s="357">
        <v>5759</v>
      </c>
      <c r="Q331" s="357">
        <v>5759</v>
      </c>
      <c r="R331" s="357">
        <v>5759.0559999999996</v>
      </c>
      <c r="S331" s="357">
        <v>5759</v>
      </c>
      <c r="T331" s="357">
        <v>5759</v>
      </c>
      <c r="U331" s="357">
        <v>5759</v>
      </c>
      <c r="X331" s="357"/>
      <c r="Y331" s="499"/>
    </row>
    <row r="332" spans="1:25" ht="18">
      <c r="A332" s="349">
        <v>303</v>
      </c>
      <c r="B332" s="353" t="s">
        <v>280</v>
      </c>
      <c r="C332" s="349" t="s">
        <v>366</v>
      </c>
      <c r="D332" s="357">
        <v>8787</v>
      </c>
      <c r="E332" s="357">
        <v>8787</v>
      </c>
      <c r="F332" s="357">
        <v>8787</v>
      </c>
      <c r="G332" s="357">
        <v>8787</v>
      </c>
      <c r="H332" s="357">
        <v>8787</v>
      </c>
      <c r="I332" s="357">
        <v>8787</v>
      </c>
      <c r="J332" s="357">
        <v>6180.8768</v>
      </c>
      <c r="K332" s="357">
        <v>8787.2047999999995</v>
      </c>
      <c r="L332" s="357">
        <v>8787</v>
      </c>
      <c r="M332" s="357">
        <v>8787</v>
      </c>
      <c r="N332" s="357">
        <v>10043</v>
      </c>
      <c r="O332" s="357">
        <v>8787</v>
      </c>
      <c r="P332" s="357">
        <v>8787</v>
      </c>
      <c r="Q332" s="357">
        <v>8787</v>
      </c>
      <c r="R332" s="357">
        <v>8787.2047999999995</v>
      </c>
      <c r="S332" s="357">
        <v>8787</v>
      </c>
      <c r="T332" s="357">
        <v>8787</v>
      </c>
      <c r="U332" s="357">
        <v>8787</v>
      </c>
      <c r="X332" s="357"/>
      <c r="Y332" s="499"/>
    </row>
    <row r="333" spans="1:25">
      <c r="A333" s="349">
        <v>304</v>
      </c>
      <c r="B333" s="353" t="s">
        <v>280</v>
      </c>
      <c r="C333" s="349" t="s">
        <v>365</v>
      </c>
      <c r="D333" s="357">
        <v>8787</v>
      </c>
      <c r="E333" s="357">
        <v>8787</v>
      </c>
      <c r="F333" s="357">
        <v>8787</v>
      </c>
      <c r="G333" s="357">
        <v>8787</v>
      </c>
      <c r="H333" s="357">
        <v>8787</v>
      </c>
      <c r="I333" s="357">
        <v>8787</v>
      </c>
      <c r="J333" s="357">
        <v>8787.2047999999995</v>
      </c>
      <c r="K333" s="357">
        <v>8787.2047999999995</v>
      </c>
      <c r="L333" s="357">
        <v>8787</v>
      </c>
      <c r="M333" s="357">
        <v>8787</v>
      </c>
      <c r="N333" s="357">
        <v>10043</v>
      </c>
      <c r="O333" s="357">
        <v>8787</v>
      </c>
      <c r="P333" s="357">
        <v>8787</v>
      </c>
      <c r="Q333" s="357">
        <v>8787</v>
      </c>
      <c r="R333" s="357">
        <v>8787.2047999999995</v>
      </c>
      <c r="S333" s="357">
        <v>8787</v>
      </c>
      <c r="T333" s="357">
        <v>8787</v>
      </c>
      <c r="U333" s="357">
        <v>8787</v>
      </c>
      <c r="X333" s="357"/>
      <c r="Y333" s="499"/>
    </row>
    <row r="334" spans="1:25">
      <c r="A334" s="349">
        <v>305</v>
      </c>
      <c r="B334" s="353" t="s">
        <v>281</v>
      </c>
      <c r="C334" s="349" t="s">
        <v>365</v>
      </c>
      <c r="D334" s="357">
        <v>1324</v>
      </c>
      <c r="E334" s="357">
        <v>1324</v>
      </c>
      <c r="F334" s="357">
        <v>1324</v>
      </c>
      <c r="G334" s="357">
        <v>1324</v>
      </c>
      <c r="H334" s="357">
        <v>1324</v>
      </c>
      <c r="I334" s="357">
        <v>1324</v>
      </c>
      <c r="J334" s="357">
        <v>1324.4736</v>
      </c>
      <c r="K334" s="357">
        <v>1324.4736</v>
      </c>
      <c r="L334" s="357">
        <v>1324</v>
      </c>
      <c r="M334" s="357">
        <v>1324</v>
      </c>
      <c r="N334" s="357">
        <v>1514</v>
      </c>
      <c r="O334" s="357">
        <v>1324</v>
      </c>
      <c r="P334" s="357">
        <v>1324</v>
      </c>
      <c r="Q334" s="357">
        <v>1324</v>
      </c>
      <c r="R334" s="357">
        <v>1324.4736</v>
      </c>
      <c r="S334" s="357">
        <v>1324</v>
      </c>
      <c r="T334" s="357">
        <v>1324</v>
      </c>
      <c r="U334" s="357">
        <v>1324</v>
      </c>
      <c r="X334" s="357"/>
      <c r="Y334" s="499"/>
    </row>
    <row r="335" spans="1:25">
      <c r="A335" s="349">
        <v>306</v>
      </c>
      <c r="B335" s="353" t="s">
        <v>282</v>
      </c>
      <c r="C335" s="349" t="s">
        <v>365</v>
      </c>
      <c r="D335" s="357">
        <v>1324</v>
      </c>
      <c r="E335" s="357">
        <v>1324</v>
      </c>
      <c r="F335" s="357">
        <v>1324</v>
      </c>
      <c r="G335" s="357">
        <v>1324</v>
      </c>
      <c r="H335" s="357">
        <v>1324</v>
      </c>
      <c r="I335" s="357">
        <v>1324</v>
      </c>
      <c r="J335" s="357">
        <v>1324.4736</v>
      </c>
      <c r="K335" s="357">
        <v>1324.4736</v>
      </c>
      <c r="L335" s="357">
        <v>1324</v>
      </c>
      <c r="M335" s="357">
        <v>1324</v>
      </c>
      <c r="N335" s="357">
        <v>1514</v>
      </c>
      <c r="O335" s="357">
        <v>1324</v>
      </c>
      <c r="P335" s="357">
        <v>1324</v>
      </c>
      <c r="Q335" s="357">
        <v>1324</v>
      </c>
      <c r="R335" s="357">
        <v>1324.4736</v>
      </c>
      <c r="S335" s="357">
        <v>1324</v>
      </c>
      <c r="T335" s="357">
        <v>1324</v>
      </c>
      <c r="U335" s="357">
        <v>1324</v>
      </c>
      <c r="X335" s="357"/>
      <c r="Y335" s="499"/>
    </row>
    <row r="336" spans="1:25">
      <c r="A336" s="349">
        <v>307</v>
      </c>
      <c r="B336" s="353" t="s">
        <v>283</v>
      </c>
      <c r="C336" s="349" t="s">
        <v>365</v>
      </c>
      <c r="D336" s="357">
        <v>1324</v>
      </c>
      <c r="E336" s="357">
        <v>1324</v>
      </c>
      <c r="F336" s="357">
        <v>1324</v>
      </c>
      <c r="G336" s="357">
        <v>1324</v>
      </c>
      <c r="H336" s="357">
        <v>1324</v>
      </c>
      <c r="I336" s="357">
        <v>1324</v>
      </c>
      <c r="J336" s="357">
        <v>1324.4736</v>
      </c>
      <c r="K336" s="357">
        <v>1324.4736</v>
      </c>
      <c r="L336" s="357">
        <v>1324</v>
      </c>
      <c r="M336" s="357">
        <v>1324</v>
      </c>
      <c r="N336" s="357">
        <v>1514</v>
      </c>
      <c r="O336" s="357">
        <v>1324</v>
      </c>
      <c r="P336" s="357">
        <v>1324</v>
      </c>
      <c r="Q336" s="357">
        <v>1324</v>
      </c>
      <c r="R336" s="357">
        <v>1324.4736</v>
      </c>
      <c r="S336" s="357">
        <v>1324</v>
      </c>
      <c r="T336" s="357">
        <v>1324</v>
      </c>
      <c r="U336" s="357">
        <v>1324</v>
      </c>
      <c r="X336" s="357"/>
      <c r="Y336" s="499"/>
    </row>
    <row r="337" spans="1:25">
      <c r="A337" s="349">
        <v>308</v>
      </c>
      <c r="B337" s="353" t="s">
        <v>284</v>
      </c>
      <c r="C337" s="349" t="s">
        <v>365</v>
      </c>
      <c r="D337" s="357">
        <v>1324</v>
      </c>
      <c r="E337" s="357">
        <v>1324</v>
      </c>
      <c r="F337" s="357">
        <v>1324</v>
      </c>
      <c r="G337" s="357">
        <v>1324</v>
      </c>
      <c r="H337" s="357">
        <v>1324</v>
      </c>
      <c r="I337" s="357">
        <v>1324</v>
      </c>
      <c r="J337" s="357">
        <v>1324.4736</v>
      </c>
      <c r="K337" s="357">
        <v>1324.4736</v>
      </c>
      <c r="L337" s="357">
        <v>1324</v>
      </c>
      <c r="M337" s="357">
        <v>1324</v>
      </c>
      <c r="N337" s="357">
        <v>1514</v>
      </c>
      <c r="O337" s="357">
        <v>1324</v>
      </c>
      <c r="P337" s="357">
        <v>1324</v>
      </c>
      <c r="Q337" s="357">
        <v>1324</v>
      </c>
      <c r="R337" s="357">
        <v>1324.4736</v>
      </c>
      <c r="S337" s="357">
        <v>1324</v>
      </c>
      <c r="T337" s="357">
        <v>1324</v>
      </c>
      <c r="U337" s="357">
        <v>1324</v>
      </c>
      <c r="X337" s="357"/>
      <c r="Y337" s="499"/>
    </row>
    <row r="338" spans="1:25">
      <c r="A338" s="349">
        <v>309</v>
      </c>
      <c r="B338" s="353" t="s">
        <v>285</v>
      </c>
      <c r="C338" s="349" t="s">
        <v>365</v>
      </c>
      <c r="D338" s="357">
        <v>1656</v>
      </c>
      <c r="E338" s="357">
        <v>1656</v>
      </c>
      <c r="F338" s="357">
        <v>1656</v>
      </c>
      <c r="G338" s="357">
        <v>1656</v>
      </c>
      <c r="H338" s="357">
        <v>1656</v>
      </c>
      <c r="I338" s="357">
        <v>1656</v>
      </c>
      <c r="J338" s="357">
        <v>1655.5920000000001</v>
      </c>
      <c r="K338" s="357">
        <v>1655.5920000000001</v>
      </c>
      <c r="L338" s="357">
        <v>1656</v>
      </c>
      <c r="M338" s="357">
        <v>1656</v>
      </c>
      <c r="N338" s="357">
        <v>1892</v>
      </c>
      <c r="O338" s="357">
        <v>1656</v>
      </c>
      <c r="P338" s="357">
        <v>1656</v>
      </c>
      <c r="Q338" s="357">
        <v>1656</v>
      </c>
      <c r="R338" s="357">
        <v>1655.5920000000001</v>
      </c>
      <c r="S338" s="357">
        <v>1656</v>
      </c>
      <c r="T338" s="357">
        <v>1656</v>
      </c>
      <c r="U338" s="357">
        <v>1656</v>
      </c>
      <c r="X338" s="357"/>
      <c r="Y338" s="499"/>
    </row>
    <row r="339" spans="1:25">
      <c r="A339" s="349">
        <v>310</v>
      </c>
      <c r="B339" s="353" t="s">
        <v>286</v>
      </c>
      <c r="C339" s="349" t="s">
        <v>365</v>
      </c>
      <c r="D339" s="357">
        <v>1656</v>
      </c>
      <c r="E339" s="357">
        <v>1656</v>
      </c>
      <c r="F339" s="357">
        <v>1656</v>
      </c>
      <c r="G339" s="357">
        <v>1656</v>
      </c>
      <c r="H339" s="357">
        <v>1656</v>
      </c>
      <c r="I339" s="357">
        <v>1656</v>
      </c>
      <c r="J339" s="357">
        <v>1655.5920000000001</v>
      </c>
      <c r="K339" s="357">
        <v>1655.5920000000001</v>
      </c>
      <c r="L339" s="357">
        <v>1656</v>
      </c>
      <c r="M339" s="357">
        <v>1656</v>
      </c>
      <c r="N339" s="357">
        <v>1892</v>
      </c>
      <c r="O339" s="357">
        <v>1656</v>
      </c>
      <c r="P339" s="357">
        <v>1656</v>
      </c>
      <c r="Q339" s="357">
        <v>1656</v>
      </c>
      <c r="R339" s="357">
        <v>1655.5920000000001</v>
      </c>
      <c r="S339" s="357">
        <v>1656</v>
      </c>
      <c r="T339" s="357">
        <v>1656</v>
      </c>
      <c r="U339" s="357">
        <v>1656</v>
      </c>
      <c r="X339" s="357"/>
      <c r="Y339" s="499"/>
    </row>
    <row r="340" spans="1:25">
      <c r="A340" s="349">
        <v>311</v>
      </c>
      <c r="B340" s="353" t="s">
        <v>287</v>
      </c>
      <c r="C340" s="349" t="s">
        <v>365</v>
      </c>
      <c r="D340" s="357">
        <v>1656</v>
      </c>
      <c r="E340" s="357">
        <v>1656</v>
      </c>
      <c r="F340" s="357">
        <v>1656</v>
      </c>
      <c r="G340" s="357">
        <v>1656</v>
      </c>
      <c r="H340" s="357">
        <v>1656</v>
      </c>
      <c r="I340" s="357">
        <v>1656</v>
      </c>
      <c r="J340" s="357">
        <v>1655.5920000000001</v>
      </c>
      <c r="K340" s="357">
        <v>1655.5920000000001</v>
      </c>
      <c r="L340" s="357">
        <v>1656</v>
      </c>
      <c r="M340" s="357">
        <v>1656</v>
      </c>
      <c r="N340" s="357">
        <v>1892</v>
      </c>
      <c r="O340" s="357">
        <v>1656</v>
      </c>
      <c r="P340" s="357">
        <v>1656</v>
      </c>
      <c r="Q340" s="357">
        <v>1656</v>
      </c>
      <c r="R340" s="357">
        <v>1655.5920000000001</v>
      </c>
      <c r="S340" s="357">
        <v>1656</v>
      </c>
      <c r="T340" s="357">
        <v>1656</v>
      </c>
      <c r="U340" s="357">
        <v>1656</v>
      </c>
      <c r="X340" s="357"/>
      <c r="Y340" s="499"/>
    </row>
    <row r="341" spans="1:25">
      <c r="A341" s="349">
        <v>312</v>
      </c>
      <c r="B341" s="353" t="s">
        <v>288</v>
      </c>
      <c r="C341" s="349" t="s">
        <v>365</v>
      </c>
      <c r="D341" s="357">
        <v>1656</v>
      </c>
      <c r="E341" s="357">
        <v>1656</v>
      </c>
      <c r="F341" s="357">
        <v>1656</v>
      </c>
      <c r="G341" s="357">
        <v>1656</v>
      </c>
      <c r="H341" s="357">
        <v>1656</v>
      </c>
      <c r="I341" s="357">
        <v>1656</v>
      </c>
      <c r="J341" s="357">
        <v>1655.5920000000001</v>
      </c>
      <c r="K341" s="357">
        <v>1655.5920000000001</v>
      </c>
      <c r="L341" s="357">
        <v>1656</v>
      </c>
      <c r="M341" s="357">
        <v>1656</v>
      </c>
      <c r="N341" s="357">
        <v>1892</v>
      </c>
      <c r="O341" s="357">
        <v>1656</v>
      </c>
      <c r="P341" s="357">
        <v>1656</v>
      </c>
      <c r="Q341" s="357">
        <v>1656</v>
      </c>
      <c r="R341" s="357">
        <v>1655.5920000000001</v>
      </c>
      <c r="S341" s="357">
        <v>1656</v>
      </c>
      <c r="T341" s="357">
        <v>1656</v>
      </c>
      <c r="U341" s="357">
        <v>1656</v>
      </c>
      <c r="X341" s="357"/>
      <c r="Y341" s="499"/>
    </row>
    <row r="342" spans="1:25">
      <c r="A342" s="349">
        <v>313</v>
      </c>
      <c r="B342" s="353" t="s">
        <v>289</v>
      </c>
      <c r="C342" s="349" t="s">
        <v>365</v>
      </c>
      <c r="D342" s="357">
        <v>2483</v>
      </c>
      <c r="E342" s="357">
        <v>2483</v>
      </c>
      <c r="F342" s="357">
        <v>2483</v>
      </c>
      <c r="G342" s="357">
        <v>2483</v>
      </c>
      <c r="H342" s="357">
        <v>2483</v>
      </c>
      <c r="I342" s="357">
        <v>2483</v>
      </c>
      <c r="J342" s="357">
        <v>2482.8415999999997</v>
      </c>
      <c r="K342" s="357">
        <v>2482.8415999999997</v>
      </c>
      <c r="L342" s="357">
        <v>2483</v>
      </c>
      <c r="M342" s="357">
        <v>2483</v>
      </c>
      <c r="N342" s="357">
        <v>2838</v>
      </c>
      <c r="O342" s="357">
        <v>2483</v>
      </c>
      <c r="P342" s="357">
        <v>2483</v>
      </c>
      <c r="Q342" s="357">
        <v>2483</v>
      </c>
      <c r="R342" s="357">
        <v>2482.8415999999997</v>
      </c>
      <c r="S342" s="357">
        <v>2483</v>
      </c>
      <c r="T342" s="357">
        <v>2483</v>
      </c>
      <c r="U342" s="357">
        <v>2483</v>
      </c>
      <c r="X342" s="357"/>
      <c r="Y342" s="499"/>
    </row>
    <row r="343" spans="1:25">
      <c r="A343" s="349">
        <v>314</v>
      </c>
      <c r="B343" s="353" t="s">
        <v>290</v>
      </c>
      <c r="C343" s="349" t="s">
        <v>365</v>
      </c>
      <c r="D343" s="357">
        <v>2483</v>
      </c>
      <c r="E343" s="357">
        <v>2483</v>
      </c>
      <c r="F343" s="357">
        <v>2483</v>
      </c>
      <c r="G343" s="357">
        <v>2483</v>
      </c>
      <c r="H343" s="357">
        <v>2483</v>
      </c>
      <c r="I343" s="357">
        <v>2483</v>
      </c>
      <c r="J343" s="357">
        <v>2482.8415999999997</v>
      </c>
      <c r="K343" s="357">
        <v>2482.8415999999997</v>
      </c>
      <c r="L343" s="357">
        <v>2483</v>
      </c>
      <c r="M343" s="357">
        <v>2483</v>
      </c>
      <c r="N343" s="357">
        <v>2838</v>
      </c>
      <c r="O343" s="357">
        <v>2483</v>
      </c>
      <c r="P343" s="357">
        <v>2483</v>
      </c>
      <c r="Q343" s="357">
        <v>2483</v>
      </c>
      <c r="R343" s="357">
        <v>2482.8415999999997</v>
      </c>
      <c r="S343" s="357">
        <v>2483</v>
      </c>
      <c r="T343" s="357">
        <v>2483</v>
      </c>
      <c r="U343" s="357">
        <v>2483</v>
      </c>
      <c r="X343" s="357"/>
      <c r="Y343" s="499"/>
    </row>
    <row r="344" spans="1:25">
      <c r="A344" s="349">
        <v>315</v>
      </c>
      <c r="B344" s="353" t="s">
        <v>291</v>
      </c>
      <c r="C344" s="349" t="s">
        <v>365</v>
      </c>
      <c r="D344" s="357">
        <v>2483</v>
      </c>
      <c r="E344" s="357">
        <v>2483</v>
      </c>
      <c r="F344" s="357">
        <v>2483</v>
      </c>
      <c r="G344" s="357">
        <v>2483</v>
      </c>
      <c r="H344" s="357">
        <v>2483</v>
      </c>
      <c r="I344" s="357">
        <v>2483</v>
      </c>
      <c r="J344" s="357">
        <v>2482.8415999999997</v>
      </c>
      <c r="K344" s="357">
        <v>2482.8415999999997</v>
      </c>
      <c r="L344" s="357">
        <v>2483</v>
      </c>
      <c r="M344" s="357">
        <v>2483</v>
      </c>
      <c r="N344" s="357">
        <v>2838</v>
      </c>
      <c r="O344" s="357">
        <v>2483</v>
      </c>
      <c r="P344" s="357">
        <v>2483</v>
      </c>
      <c r="Q344" s="357">
        <v>2483</v>
      </c>
      <c r="R344" s="357">
        <v>2482.8415999999997</v>
      </c>
      <c r="S344" s="357">
        <v>2483</v>
      </c>
      <c r="T344" s="357">
        <v>2483</v>
      </c>
      <c r="U344" s="357">
        <v>2483</v>
      </c>
      <c r="X344" s="357"/>
      <c r="Y344" s="499"/>
    </row>
    <row r="345" spans="1:25">
      <c r="A345" s="349">
        <v>316</v>
      </c>
      <c r="B345" s="353" t="s">
        <v>292</v>
      </c>
      <c r="C345" s="349" t="s">
        <v>365</v>
      </c>
      <c r="D345" s="357">
        <v>2483</v>
      </c>
      <c r="E345" s="357">
        <v>2483</v>
      </c>
      <c r="F345" s="357">
        <v>2483</v>
      </c>
      <c r="G345" s="357">
        <v>2483</v>
      </c>
      <c r="H345" s="357">
        <v>2483</v>
      </c>
      <c r="I345" s="357">
        <v>2483</v>
      </c>
      <c r="J345" s="357">
        <v>2482.8415999999997</v>
      </c>
      <c r="K345" s="357">
        <v>2482.8415999999997</v>
      </c>
      <c r="L345" s="357">
        <v>2483</v>
      </c>
      <c r="M345" s="357">
        <v>2483</v>
      </c>
      <c r="N345" s="357">
        <v>2838</v>
      </c>
      <c r="O345" s="357">
        <v>2483</v>
      </c>
      <c r="P345" s="357">
        <v>2483</v>
      </c>
      <c r="Q345" s="357">
        <v>2483</v>
      </c>
      <c r="R345" s="357">
        <v>2482.8415999999997</v>
      </c>
      <c r="S345" s="357">
        <v>2483</v>
      </c>
      <c r="T345" s="357">
        <v>2483</v>
      </c>
      <c r="U345" s="357">
        <v>2483</v>
      </c>
      <c r="X345" s="357"/>
      <c r="Y345" s="499"/>
    </row>
    <row r="346" spans="1:25">
      <c r="A346" s="349">
        <v>317</v>
      </c>
      <c r="B346" s="353" t="s">
        <v>293</v>
      </c>
      <c r="C346" s="349" t="s">
        <v>365</v>
      </c>
      <c r="D346" s="357">
        <v>5722</v>
      </c>
      <c r="E346" s="357">
        <v>5722</v>
      </c>
      <c r="F346" s="357">
        <v>5722</v>
      </c>
      <c r="G346" s="357">
        <v>5722</v>
      </c>
      <c r="H346" s="357">
        <v>5722</v>
      </c>
      <c r="I346" s="357">
        <v>5722</v>
      </c>
      <c r="J346" s="357">
        <v>5721.9008000000003</v>
      </c>
      <c r="K346" s="357">
        <v>5721.9008000000003</v>
      </c>
      <c r="L346" s="357">
        <v>5722</v>
      </c>
      <c r="M346" s="357">
        <v>5722</v>
      </c>
      <c r="N346" s="357">
        <v>6538</v>
      </c>
      <c r="O346" s="357">
        <v>5722</v>
      </c>
      <c r="P346" s="357">
        <v>5722</v>
      </c>
      <c r="Q346" s="357">
        <v>5722</v>
      </c>
      <c r="R346" s="357">
        <v>5721.9008000000003</v>
      </c>
      <c r="S346" s="357">
        <v>5722</v>
      </c>
      <c r="T346" s="357">
        <v>5722</v>
      </c>
      <c r="U346" s="357">
        <v>5722</v>
      </c>
      <c r="X346" s="357"/>
      <c r="Y346" s="499"/>
    </row>
    <row r="347" spans="1:25">
      <c r="A347" s="349">
        <v>318</v>
      </c>
      <c r="B347" s="353" t="s">
        <v>294</v>
      </c>
      <c r="C347" s="349" t="s">
        <v>365</v>
      </c>
      <c r="D347" s="357">
        <v>5722</v>
      </c>
      <c r="E347" s="357">
        <v>5722</v>
      </c>
      <c r="F347" s="357">
        <v>5722</v>
      </c>
      <c r="G347" s="357">
        <v>5722</v>
      </c>
      <c r="H347" s="357">
        <v>5722</v>
      </c>
      <c r="I347" s="357">
        <v>5722</v>
      </c>
      <c r="J347" s="357">
        <v>5721.9008000000003</v>
      </c>
      <c r="K347" s="357">
        <v>5721.9008000000003</v>
      </c>
      <c r="L347" s="357">
        <v>5722</v>
      </c>
      <c r="M347" s="357">
        <v>5722</v>
      </c>
      <c r="N347" s="357">
        <v>6538</v>
      </c>
      <c r="O347" s="357">
        <v>5722</v>
      </c>
      <c r="P347" s="357">
        <v>5722</v>
      </c>
      <c r="Q347" s="357">
        <v>5722</v>
      </c>
      <c r="R347" s="357">
        <v>5721.9008000000003</v>
      </c>
      <c r="S347" s="357">
        <v>5722</v>
      </c>
      <c r="T347" s="357">
        <v>5722</v>
      </c>
      <c r="U347" s="357">
        <v>5722</v>
      </c>
      <c r="X347" s="357"/>
      <c r="Y347" s="499"/>
    </row>
    <row r="348" spans="1:25">
      <c r="A348" s="349">
        <v>319</v>
      </c>
      <c r="B348" s="353" t="s">
        <v>295</v>
      </c>
      <c r="C348" s="349" t="s">
        <v>365</v>
      </c>
      <c r="D348" s="357">
        <v>5722</v>
      </c>
      <c r="E348" s="357">
        <v>5722</v>
      </c>
      <c r="F348" s="357">
        <v>5722</v>
      </c>
      <c r="G348" s="357">
        <v>5722</v>
      </c>
      <c r="H348" s="357">
        <v>5722</v>
      </c>
      <c r="I348" s="357">
        <v>5722</v>
      </c>
      <c r="J348" s="357">
        <v>5721.9008000000003</v>
      </c>
      <c r="K348" s="357">
        <v>5721.9008000000003</v>
      </c>
      <c r="L348" s="357">
        <v>5722</v>
      </c>
      <c r="M348" s="357">
        <v>5722</v>
      </c>
      <c r="N348" s="357">
        <v>6538</v>
      </c>
      <c r="O348" s="357">
        <v>5722</v>
      </c>
      <c r="P348" s="357">
        <v>5722</v>
      </c>
      <c r="Q348" s="357">
        <v>5722</v>
      </c>
      <c r="R348" s="357">
        <v>5721.9008000000003</v>
      </c>
      <c r="S348" s="357">
        <v>5722</v>
      </c>
      <c r="T348" s="357">
        <v>5722</v>
      </c>
      <c r="U348" s="357">
        <v>5722</v>
      </c>
      <c r="X348" s="357"/>
      <c r="Y348" s="499"/>
    </row>
    <row r="349" spans="1:25">
      <c r="A349" s="349">
        <v>320</v>
      </c>
      <c r="B349" s="353" t="s">
        <v>296</v>
      </c>
      <c r="C349" s="349" t="s">
        <v>365</v>
      </c>
      <c r="D349" s="357">
        <v>5722</v>
      </c>
      <c r="E349" s="357">
        <v>5722</v>
      </c>
      <c r="F349" s="357">
        <v>5722</v>
      </c>
      <c r="G349" s="357">
        <v>5722</v>
      </c>
      <c r="H349" s="357">
        <v>5722</v>
      </c>
      <c r="I349" s="357">
        <v>5722</v>
      </c>
      <c r="J349" s="357">
        <v>5721.9008000000003</v>
      </c>
      <c r="K349" s="357">
        <v>5721.9008000000003</v>
      </c>
      <c r="L349" s="357">
        <v>5722</v>
      </c>
      <c r="M349" s="357">
        <v>5722</v>
      </c>
      <c r="N349" s="357">
        <v>6538</v>
      </c>
      <c r="O349" s="357">
        <v>5722</v>
      </c>
      <c r="P349" s="357">
        <v>5722</v>
      </c>
      <c r="Q349" s="357">
        <v>5722</v>
      </c>
      <c r="R349" s="357">
        <v>5721.9008000000003</v>
      </c>
      <c r="S349" s="357">
        <v>5722</v>
      </c>
      <c r="T349" s="357">
        <v>5722</v>
      </c>
      <c r="U349" s="357">
        <v>5722</v>
      </c>
      <c r="X349" s="357"/>
      <c r="Y349" s="499"/>
    </row>
    <row r="350" spans="1:25">
      <c r="A350" s="349">
        <v>321</v>
      </c>
      <c r="B350" s="353" t="s">
        <v>297</v>
      </c>
      <c r="C350" s="349" t="s">
        <v>365</v>
      </c>
      <c r="D350" s="357">
        <v>17037</v>
      </c>
      <c r="E350" s="357">
        <v>17037</v>
      </c>
      <c r="F350" s="357">
        <v>17037</v>
      </c>
      <c r="G350" s="357">
        <v>17037</v>
      </c>
      <c r="H350" s="357">
        <v>17037</v>
      </c>
      <c r="I350" s="357">
        <v>17037</v>
      </c>
      <c r="J350" s="357">
        <v>17036.752</v>
      </c>
      <c r="K350" s="357">
        <v>17036.752</v>
      </c>
      <c r="L350" s="357">
        <v>17037</v>
      </c>
      <c r="M350" s="357">
        <v>17037</v>
      </c>
      <c r="N350" s="357">
        <v>19472</v>
      </c>
      <c r="O350" s="357">
        <v>17037</v>
      </c>
      <c r="P350" s="357">
        <v>17037</v>
      </c>
      <c r="Q350" s="357">
        <v>17037</v>
      </c>
      <c r="R350" s="357">
        <v>17036.752</v>
      </c>
      <c r="S350" s="357">
        <v>17037</v>
      </c>
      <c r="T350" s="357">
        <v>17037</v>
      </c>
      <c r="U350" s="357">
        <v>17037</v>
      </c>
      <c r="X350" s="357"/>
      <c r="Y350" s="499"/>
    </row>
    <row r="351" spans="1:25">
      <c r="A351" s="349">
        <v>322</v>
      </c>
      <c r="B351" s="353" t="s">
        <v>298</v>
      </c>
      <c r="C351" s="349" t="s">
        <v>365</v>
      </c>
      <c r="D351" s="357">
        <v>17037</v>
      </c>
      <c r="E351" s="357">
        <v>17037</v>
      </c>
      <c r="F351" s="357">
        <v>17037</v>
      </c>
      <c r="G351" s="357">
        <v>17037</v>
      </c>
      <c r="H351" s="357">
        <v>17037</v>
      </c>
      <c r="I351" s="357">
        <v>17037</v>
      </c>
      <c r="J351" s="357">
        <v>17036.752</v>
      </c>
      <c r="K351" s="357">
        <v>17036.752</v>
      </c>
      <c r="L351" s="357">
        <v>17037</v>
      </c>
      <c r="M351" s="357">
        <v>17037</v>
      </c>
      <c r="N351" s="357">
        <v>19472</v>
      </c>
      <c r="O351" s="357">
        <v>17037</v>
      </c>
      <c r="P351" s="357">
        <v>17037</v>
      </c>
      <c r="Q351" s="357">
        <v>17037</v>
      </c>
      <c r="R351" s="357">
        <v>17036.752</v>
      </c>
      <c r="S351" s="357">
        <v>17037</v>
      </c>
      <c r="T351" s="357">
        <v>17037</v>
      </c>
      <c r="U351" s="357">
        <v>17037</v>
      </c>
      <c r="X351" s="357"/>
      <c r="Y351" s="499"/>
    </row>
    <row r="352" spans="1:25">
      <c r="A352" s="349">
        <v>323</v>
      </c>
      <c r="B352" s="353" t="s">
        <v>299</v>
      </c>
      <c r="C352" s="349" t="s">
        <v>365</v>
      </c>
      <c r="D352" s="357">
        <v>17037</v>
      </c>
      <c r="E352" s="357">
        <v>17037</v>
      </c>
      <c r="F352" s="357">
        <v>17037</v>
      </c>
      <c r="G352" s="357">
        <v>17037</v>
      </c>
      <c r="H352" s="357">
        <v>17037</v>
      </c>
      <c r="I352" s="357">
        <v>17037</v>
      </c>
      <c r="J352" s="357">
        <v>17036.752</v>
      </c>
      <c r="K352" s="357">
        <v>17036.752</v>
      </c>
      <c r="L352" s="357">
        <v>17037</v>
      </c>
      <c r="M352" s="357">
        <v>17037</v>
      </c>
      <c r="N352" s="357">
        <v>19472</v>
      </c>
      <c r="O352" s="357">
        <v>17037</v>
      </c>
      <c r="P352" s="357">
        <v>17037</v>
      </c>
      <c r="Q352" s="357">
        <v>17037</v>
      </c>
      <c r="R352" s="357">
        <v>17036.752</v>
      </c>
      <c r="S352" s="357">
        <v>17037</v>
      </c>
      <c r="T352" s="357">
        <v>17037</v>
      </c>
      <c r="U352" s="357">
        <v>17037</v>
      </c>
      <c r="X352" s="357"/>
      <c r="Y352" s="499"/>
    </row>
    <row r="353" spans="1:25">
      <c r="A353" s="349">
        <v>324</v>
      </c>
      <c r="B353" s="353" t="s">
        <v>300</v>
      </c>
      <c r="C353" s="349" t="s">
        <v>365</v>
      </c>
      <c r="D353" s="357">
        <v>16329</v>
      </c>
      <c r="E353" s="357">
        <v>16329</v>
      </c>
      <c r="F353" s="357">
        <v>16329</v>
      </c>
      <c r="G353" s="357">
        <v>16329</v>
      </c>
      <c r="H353" s="357">
        <v>16329</v>
      </c>
      <c r="I353" s="357">
        <v>16329</v>
      </c>
      <c r="J353" s="357">
        <v>16328.6176</v>
      </c>
      <c r="K353" s="357">
        <v>16328.6176</v>
      </c>
      <c r="L353" s="357">
        <v>16329</v>
      </c>
      <c r="M353" s="357">
        <v>16329</v>
      </c>
      <c r="N353" s="357">
        <v>18662</v>
      </c>
      <c r="O353" s="357">
        <v>16329</v>
      </c>
      <c r="P353" s="357">
        <v>16329</v>
      </c>
      <c r="Q353" s="357">
        <v>16329</v>
      </c>
      <c r="R353" s="357">
        <v>16328.6176</v>
      </c>
      <c r="S353" s="357">
        <v>16329</v>
      </c>
      <c r="T353" s="357">
        <v>16329</v>
      </c>
      <c r="U353" s="357">
        <v>16329</v>
      </c>
      <c r="X353" s="357"/>
      <c r="Y353" s="499"/>
    </row>
    <row r="354" spans="1:25">
      <c r="A354" s="349">
        <v>325</v>
      </c>
      <c r="B354" s="353" t="s">
        <v>301</v>
      </c>
      <c r="C354" s="349" t="s">
        <v>365</v>
      </c>
      <c r="D354" s="357">
        <v>16329</v>
      </c>
      <c r="E354" s="357">
        <v>16329</v>
      </c>
      <c r="F354" s="357">
        <v>16329</v>
      </c>
      <c r="G354" s="357">
        <v>16329</v>
      </c>
      <c r="H354" s="357">
        <v>16329</v>
      </c>
      <c r="I354" s="357">
        <v>16329</v>
      </c>
      <c r="J354" s="357">
        <v>16328.6176</v>
      </c>
      <c r="K354" s="357">
        <v>16328.6176</v>
      </c>
      <c r="L354" s="357">
        <v>16329</v>
      </c>
      <c r="M354" s="357">
        <v>16329</v>
      </c>
      <c r="N354" s="357">
        <v>18662</v>
      </c>
      <c r="O354" s="357">
        <v>16329</v>
      </c>
      <c r="P354" s="357">
        <v>16329</v>
      </c>
      <c r="Q354" s="357">
        <v>16329</v>
      </c>
      <c r="R354" s="357">
        <v>16328.6176</v>
      </c>
      <c r="S354" s="357">
        <v>16329</v>
      </c>
      <c r="T354" s="357">
        <v>16329</v>
      </c>
      <c r="U354" s="357">
        <v>16329</v>
      </c>
      <c r="X354" s="357"/>
      <c r="Y354" s="499"/>
    </row>
    <row r="355" spans="1:25">
      <c r="A355" s="349">
        <v>326</v>
      </c>
      <c r="B355" s="353" t="s">
        <v>302</v>
      </c>
      <c r="C355" s="349" t="s">
        <v>365</v>
      </c>
      <c r="D355" s="357">
        <v>16329</v>
      </c>
      <c r="E355" s="357">
        <v>16329</v>
      </c>
      <c r="F355" s="357">
        <v>16329</v>
      </c>
      <c r="G355" s="357">
        <v>16329</v>
      </c>
      <c r="H355" s="357">
        <v>16329</v>
      </c>
      <c r="I355" s="357">
        <v>16329</v>
      </c>
      <c r="J355" s="357">
        <v>16328.6176</v>
      </c>
      <c r="K355" s="357">
        <v>16328.6176</v>
      </c>
      <c r="L355" s="357">
        <v>16329</v>
      </c>
      <c r="M355" s="357">
        <v>16329</v>
      </c>
      <c r="N355" s="357">
        <v>18662</v>
      </c>
      <c r="O355" s="357">
        <v>16329</v>
      </c>
      <c r="P355" s="357">
        <v>16329</v>
      </c>
      <c r="Q355" s="357">
        <v>16329</v>
      </c>
      <c r="R355" s="357">
        <v>16328.6176</v>
      </c>
      <c r="S355" s="357">
        <v>16329</v>
      </c>
      <c r="T355" s="357">
        <v>16329</v>
      </c>
      <c r="U355" s="357">
        <v>16329</v>
      </c>
      <c r="X355" s="357"/>
      <c r="Y355" s="499"/>
    </row>
    <row r="356" spans="1:25">
      <c r="A356" s="349">
        <v>327</v>
      </c>
      <c r="B356" s="353" t="s">
        <v>303</v>
      </c>
      <c r="C356" s="349" t="s">
        <v>365</v>
      </c>
      <c r="D356" s="357">
        <v>29983</v>
      </c>
      <c r="E356" s="357">
        <v>29983</v>
      </c>
      <c r="F356" s="357">
        <v>29983</v>
      </c>
      <c r="G356" s="357">
        <v>29983</v>
      </c>
      <c r="H356" s="357">
        <v>29983</v>
      </c>
      <c r="I356" s="357">
        <v>29983</v>
      </c>
      <c r="J356" s="357">
        <v>29983.153599999998</v>
      </c>
      <c r="K356" s="357">
        <v>29983.153599999998</v>
      </c>
      <c r="L356" s="357">
        <v>29983</v>
      </c>
      <c r="M356" s="357">
        <v>29983</v>
      </c>
      <c r="N356" s="357">
        <v>34267</v>
      </c>
      <c r="O356" s="357">
        <v>29983</v>
      </c>
      <c r="P356" s="357">
        <v>29983</v>
      </c>
      <c r="Q356" s="357">
        <v>29983</v>
      </c>
      <c r="R356" s="357">
        <v>29983.153599999998</v>
      </c>
      <c r="S356" s="357">
        <v>29983</v>
      </c>
      <c r="T356" s="357">
        <v>29983</v>
      </c>
      <c r="U356" s="357">
        <v>29983</v>
      </c>
      <c r="X356" s="357"/>
      <c r="Y356" s="499"/>
    </row>
    <row r="357" spans="1:25">
      <c r="A357" s="349">
        <v>328</v>
      </c>
      <c r="B357" s="353" t="s">
        <v>304</v>
      </c>
      <c r="C357" s="349" t="s">
        <v>365</v>
      </c>
      <c r="D357" s="357">
        <v>29983</v>
      </c>
      <c r="E357" s="357">
        <v>29983</v>
      </c>
      <c r="F357" s="357">
        <v>29983</v>
      </c>
      <c r="G357" s="357">
        <v>29983</v>
      </c>
      <c r="H357" s="357">
        <v>29983</v>
      </c>
      <c r="I357" s="357">
        <v>29983</v>
      </c>
      <c r="J357" s="357">
        <v>29983.153599999998</v>
      </c>
      <c r="K357" s="357">
        <v>29983.153599999998</v>
      </c>
      <c r="L357" s="357">
        <v>29983</v>
      </c>
      <c r="M357" s="357">
        <v>29983</v>
      </c>
      <c r="N357" s="357">
        <v>34267</v>
      </c>
      <c r="O357" s="357">
        <v>29983</v>
      </c>
      <c r="P357" s="357">
        <v>29983</v>
      </c>
      <c r="Q357" s="357">
        <v>29983</v>
      </c>
      <c r="R357" s="357">
        <v>29983.153599999998</v>
      </c>
      <c r="S357" s="357">
        <v>29983</v>
      </c>
      <c r="T357" s="357">
        <v>29983</v>
      </c>
      <c r="U357" s="357">
        <v>29983</v>
      </c>
      <c r="X357" s="357"/>
      <c r="Y357" s="499"/>
    </row>
    <row r="358" spans="1:25">
      <c r="A358" s="349">
        <v>329</v>
      </c>
      <c r="B358" s="353" t="s">
        <v>305</v>
      </c>
      <c r="C358" s="349" t="s">
        <v>365</v>
      </c>
      <c r="D358" s="357">
        <v>29983</v>
      </c>
      <c r="E358" s="357">
        <v>29983</v>
      </c>
      <c r="F358" s="357">
        <v>29983</v>
      </c>
      <c r="G358" s="357">
        <v>29983</v>
      </c>
      <c r="H358" s="357">
        <v>29983</v>
      </c>
      <c r="I358" s="357">
        <v>29983</v>
      </c>
      <c r="J358" s="357">
        <v>29983.153599999998</v>
      </c>
      <c r="K358" s="357">
        <v>29983.153599999998</v>
      </c>
      <c r="L358" s="357">
        <v>29983</v>
      </c>
      <c r="M358" s="357">
        <v>29983</v>
      </c>
      <c r="N358" s="357">
        <v>34267</v>
      </c>
      <c r="O358" s="357">
        <v>29983</v>
      </c>
      <c r="P358" s="357">
        <v>29983</v>
      </c>
      <c r="Q358" s="357">
        <v>29983</v>
      </c>
      <c r="R358" s="357">
        <v>29983.153599999998</v>
      </c>
      <c r="S358" s="357">
        <v>29983</v>
      </c>
      <c r="T358" s="357">
        <v>29983</v>
      </c>
      <c r="U358" s="357">
        <v>29983</v>
      </c>
      <c r="X358" s="357"/>
      <c r="Y358" s="499"/>
    </row>
    <row r="359" spans="1:25">
      <c r="A359" s="349">
        <v>330</v>
      </c>
      <c r="B359" s="353" t="s">
        <v>306</v>
      </c>
      <c r="C359" s="349" t="s">
        <v>365</v>
      </c>
      <c r="D359" s="357">
        <v>86581</v>
      </c>
      <c r="E359" s="357">
        <v>86581</v>
      </c>
      <c r="F359" s="357">
        <v>86581</v>
      </c>
      <c r="G359" s="357">
        <v>86581</v>
      </c>
      <c r="H359" s="357">
        <v>86581</v>
      </c>
      <c r="I359" s="357">
        <v>86581</v>
      </c>
      <c r="J359" s="357">
        <v>86581.451199999996</v>
      </c>
      <c r="K359" s="357">
        <v>86581.451199999996</v>
      </c>
      <c r="L359" s="357">
        <v>86581</v>
      </c>
      <c r="M359" s="357">
        <v>86581</v>
      </c>
      <c r="N359" s="357">
        <v>98950</v>
      </c>
      <c r="O359" s="357">
        <v>86581</v>
      </c>
      <c r="P359" s="357">
        <v>86581</v>
      </c>
      <c r="Q359" s="357">
        <v>86581</v>
      </c>
      <c r="R359" s="357">
        <v>86581.451199999996</v>
      </c>
      <c r="S359" s="357">
        <v>86581</v>
      </c>
      <c r="T359" s="357">
        <v>86581</v>
      </c>
      <c r="U359" s="357">
        <v>86581</v>
      </c>
      <c r="X359" s="357"/>
      <c r="Y359" s="499"/>
    </row>
    <row r="360" spans="1:25">
      <c r="A360" s="349">
        <v>331</v>
      </c>
      <c r="B360" s="353" t="s">
        <v>307</v>
      </c>
      <c r="C360" s="349" t="s">
        <v>365</v>
      </c>
      <c r="D360" s="357">
        <v>86581</v>
      </c>
      <c r="E360" s="357">
        <v>86581</v>
      </c>
      <c r="F360" s="357">
        <v>86581</v>
      </c>
      <c r="G360" s="357">
        <v>86581</v>
      </c>
      <c r="H360" s="357">
        <v>86581</v>
      </c>
      <c r="I360" s="357">
        <v>86581</v>
      </c>
      <c r="J360" s="357">
        <v>86581.451199999996</v>
      </c>
      <c r="K360" s="357">
        <v>86581.451199999996</v>
      </c>
      <c r="L360" s="357">
        <v>86581</v>
      </c>
      <c r="M360" s="357">
        <v>86581</v>
      </c>
      <c r="N360" s="357">
        <v>98950</v>
      </c>
      <c r="O360" s="357">
        <v>86581</v>
      </c>
      <c r="P360" s="357">
        <v>86581</v>
      </c>
      <c r="Q360" s="357">
        <v>86581</v>
      </c>
      <c r="R360" s="357">
        <v>86581.451199999996</v>
      </c>
      <c r="S360" s="357">
        <v>86581</v>
      </c>
      <c r="T360" s="357">
        <v>86581</v>
      </c>
      <c r="U360" s="357">
        <v>86581</v>
      </c>
      <c r="X360" s="357"/>
      <c r="Y360" s="499"/>
    </row>
    <row r="361" spans="1:25">
      <c r="A361" s="349">
        <v>332</v>
      </c>
      <c r="B361" s="353" t="s">
        <v>308</v>
      </c>
      <c r="C361" s="349" t="s">
        <v>365</v>
      </c>
      <c r="D361" s="357">
        <v>86581</v>
      </c>
      <c r="E361" s="357">
        <v>86581</v>
      </c>
      <c r="F361" s="357">
        <v>86581</v>
      </c>
      <c r="G361" s="357">
        <v>86581</v>
      </c>
      <c r="H361" s="357">
        <v>86581</v>
      </c>
      <c r="I361" s="357">
        <v>86581</v>
      </c>
      <c r="J361" s="357">
        <v>86581.451199999996</v>
      </c>
      <c r="K361" s="357">
        <v>86581.451199999996</v>
      </c>
      <c r="L361" s="357">
        <v>86581</v>
      </c>
      <c r="M361" s="357">
        <v>86581</v>
      </c>
      <c r="N361" s="357">
        <v>98950</v>
      </c>
      <c r="O361" s="357">
        <v>86581</v>
      </c>
      <c r="P361" s="357">
        <v>86581</v>
      </c>
      <c r="Q361" s="357">
        <v>86581</v>
      </c>
      <c r="R361" s="357">
        <v>86581.451199999996</v>
      </c>
      <c r="S361" s="357">
        <v>86581</v>
      </c>
      <c r="T361" s="357">
        <v>86581</v>
      </c>
      <c r="U361" s="357">
        <v>86581</v>
      </c>
      <c r="X361" s="357"/>
      <c r="Y361" s="499"/>
    </row>
    <row r="362" spans="1:25">
      <c r="A362" s="349">
        <v>333</v>
      </c>
      <c r="B362" s="353" t="s">
        <v>309</v>
      </c>
      <c r="C362" s="349" t="s">
        <v>365</v>
      </c>
      <c r="D362" s="357">
        <v>87170</v>
      </c>
      <c r="E362" s="357">
        <v>87170</v>
      </c>
      <c r="F362" s="357">
        <v>87170</v>
      </c>
      <c r="G362" s="357">
        <v>87170</v>
      </c>
      <c r="H362" s="357">
        <v>87170</v>
      </c>
      <c r="I362" s="357">
        <v>87170</v>
      </c>
      <c r="J362" s="357">
        <v>87170.470400000006</v>
      </c>
      <c r="K362" s="357">
        <v>87170.470400000006</v>
      </c>
      <c r="L362" s="357">
        <v>87170</v>
      </c>
      <c r="M362" s="357">
        <v>87170</v>
      </c>
      <c r="N362" s="357">
        <v>99623</v>
      </c>
      <c r="O362" s="357">
        <v>87170</v>
      </c>
      <c r="P362" s="357">
        <v>87170</v>
      </c>
      <c r="Q362" s="357">
        <v>87170</v>
      </c>
      <c r="R362" s="357">
        <v>87170.470400000006</v>
      </c>
      <c r="S362" s="357">
        <v>87170</v>
      </c>
      <c r="T362" s="357">
        <v>87170</v>
      </c>
      <c r="U362" s="357">
        <v>87170</v>
      </c>
      <c r="X362" s="357"/>
      <c r="Y362" s="499"/>
    </row>
    <row r="363" spans="1:25">
      <c r="A363" s="349">
        <v>334</v>
      </c>
      <c r="B363" s="353" t="s">
        <v>310</v>
      </c>
      <c r="C363" s="349" t="s">
        <v>365</v>
      </c>
      <c r="D363" s="357">
        <v>87170</v>
      </c>
      <c r="E363" s="357">
        <v>87170</v>
      </c>
      <c r="F363" s="357">
        <v>87170</v>
      </c>
      <c r="G363" s="357">
        <v>87170</v>
      </c>
      <c r="H363" s="357">
        <v>87170</v>
      </c>
      <c r="I363" s="357">
        <v>87170</v>
      </c>
      <c r="J363" s="357">
        <v>87170.470400000006</v>
      </c>
      <c r="K363" s="357">
        <v>87170.470400000006</v>
      </c>
      <c r="L363" s="357">
        <v>87170</v>
      </c>
      <c r="M363" s="357">
        <v>87170</v>
      </c>
      <c r="N363" s="357">
        <v>99623</v>
      </c>
      <c r="O363" s="357">
        <v>87170</v>
      </c>
      <c r="P363" s="357">
        <v>87170</v>
      </c>
      <c r="Q363" s="357">
        <v>87170</v>
      </c>
      <c r="R363" s="357">
        <v>87170.470400000006</v>
      </c>
      <c r="S363" s="357">
        <v>87170</v>
      </c>
      <c r="T363" s="357">
        <v>87170</v>
      </c>
      <c r="U363" s="357">
        <v>87170</v>
      </c>
      <c r="X363" s="357"/>
      <c r="Y363" s="499"/>
    </row>
    <row r="364" spans="1:25">
      <c r="A364" s="349">
        <v>335</v>
      </c>
      <c r="B364" s="353" t="s">
        <v>311</v>
      </c>
      <c r="C364" s="349" t="s">
        <v>365</v>
      </c>
      <c r="D364" s="357">
        <v>12846</v>
      </c>
      <c r="E364" s="357">
        <v>12846</v>
      </c>
      <c r="F364" s="357">
        <v>12846</v>
      </c>
      <c r="G364" s="357">
        <v>12846</v>
      </c>
      <c r="H364" s="357">
        <v>12846</v>
      </c>
      <c r="I364" s="357">
        <v>12846</v>
      </c>
      <c r="J364" s="357">
        <v>12845.864</v>
      </c>
      <c r="K364" s="357">
        <v>12845.864</v>
      </c>
      <c r="L364" s="357">
        <v>12846</v>
      </c>
      <c r="M364" s="357">
        <v>12846</v>
      </c>
      <c r="N364" s="357">
        <v>14681</v>
      </c>
      <c r="O364" s="357">
        <v>12846</v>
      </c>
      <c r="P364" s="357">
        <v>12846</v>
      </c>
      <c r="Q364" s="357">
        <v>12846</v>
      </c>
      <c r="R364" s="357">
        <v>12845.864</v>
      </c>
      <c r="S364" s="357">
        <v>12846</v>
      </c>
      <c r="T364" s="357">
        <v>12846</v>
      </c>
      <c r="U364" s="357">
        <v>12846</v>
      </c>
      <c r="X364" s="357"/>
      <c r="Y364" s="499"/>
    </row>
    <row r="365" spans="1:25">
      <c r="A365" s="349">
        <v>336</v>
      </c>
      <c r="B365" s="353" t="s">
        <v>312</v>
      </c>
      <c r="C365" s="349" t="s">
        <v>365</v>
      </c>
      <c r="D365" s="357">
        <v>13971</v>
      </c>
      <c r="E365" s="357">
        <v>13971</v>
      </c>
      <c r="F365" s="357">
        <v>13971</v>
      </c>
      <c r="G365" s="357">
        <v>13971</v>
      </c>
      <c r="H365" s="357">
        <v>13971</v>
      </c>
      <c r="I365" s="357">
        <v>13971</v>
      </c>
      <c r="J365" s="357">
        <v>13971.448</v>
      </c>
      <c r="K365" s="357">
        <v>13971.448</v>
      </c>
      <c r="L365" s="357">
        <v>13971</v>
      </c>
      <c r="M365" s="357">
        <v>13971</v>
      </c>
      <c r="N365" s="357">
        <v>15967</v>
      </c>
      <c r="O365" s="357">
        <v>13971</v>
      </c>
      <c r="P365" s="357">
        <v>13971</v>
      </c>
      <c r="Q365" s="357">
        <v>13971</v>
      </c>
      <c r="R365" s="357">
        <v>13971.448</v>
      </c>
      <c r="S365" s="357">
        <v>13971</v>
      </c>
      <c r="T365" s="357">
        <v>13971</v>
      </c>
      <c r="U365" s="357">
        <v>13971</v>
      </c>
      <c r="X365" s="357"/>
      <c r="Y365" s="499"/>
    </row>
    <row r="366" spans="1:25">
      <c r="A366" s="349">
        <v>337</v>
      </c>
      <c r="B366" s="353" t="s">
        <v>313</v>
      </c>
      <c r="C366" s="349" t="s">
        <v>365</v>
      </c>
      <c r="D366" s="357">
        <v>15571</v>
      </c>
      <c r="E366" s="357">
        <v>15571</v>
      </c>
      <c r="F366" s="357">
        <v>15571</v>
      </c>
      <c r="G366" s="357">
        <v>15571</v>
      </c>
      <c r="H366" s="357">
        <v>15571</v>
      </c>
      <c r="I366" s="357">
        <v>15571</v>
      </c>
      <c r="J366" s="357">
        <v>15571.307199999999</v>
      </c>
      <c r="K366" s="357">
        <v>15571.307199999999</v>
      </c>
      <c r="L366" s="357">
        <v>15571</v>
      </c>
      <c r="M366" s="357">
        <v>15571</v>
      </c>
      <c r="N366" s="357">
        <v>17795</v>
      </c>
      <c r="O366" s="357">
        <v>15571</v>
      </c>
      <c r="P366" s="357">
        <v>15571</v>
      </c>
      <c r="Q366" s="357">
        <v>15571</v>
      </c>
      <c r="R366" s="357">
        <v>15571.307199999999</v>
      </c>
      <c r="S366" s="357">
        <v>15571</v>
      </c>
      <c r="T366" s="357">
        <v>15571</v>
      </c>
      <c r="U366" s="357">
        <v>15571</v>
      </c>
      <c r="X366" s="357"/>
      <c r="Y366" s="499"/>
    </row>
    <row r="367" spans="1:25">
      <c r="A367" s="349">
        <v>338</v>
      </c>
      <c r="B367" s="353" t="s">
        <v>314</v>
      </c>
      <c r="C367" s="349" t="s">
        <v>365</v>
      </c>
      <c r="D367" s="357">
        <v>16322</v>
      </c>
      <c r="E367" s="357">
        <v>16322</v>
      </c>
      <c r="F367" s="357">
        <v>16322</v>
      </c>
      <c r="G367" s="357">
        <v>16322</v>
      </c>
      <c r="H367" s="357">
        <v>16322</v>
      </c>
      <c r="I367" s="357">
        <v>16322</v>
      </c>
      <c r="J367" s="357">
        <v>16322.060799999999</v>
      </c>
      <c r="K367" s="357">
        <v>16322.060799999999</v>
      </c>
      <c r="L367" s="357">
        <v>16322</v>
      </c>
      <c r="M367" s="357">
        <v>16322</v>
      </c>
      <c r="N367" s="357">
        <v>18654</v>
      </c>
      <c r="O367" s="357">
        <v>16322</v>
      </c>
      <c r="P367" s="357">
        <v>16322</v>
      </c>
      <c r="Q367" s="357">
        <v>16322</v>
      </c>
      <c r="R367" s="357">
        <v>16322.060799999999</v>
      </c>
      <c r="S367" s="357">
        <v>16322</v>
      </c>
      <c r="T367" s="357">
        <v>16322</v>
      </c>
      <c r="U367" s="357">
        <v>16322</v>
      </c>
      <c r="X367" s="357"/>
      <c r="Y367" s="499"/>
    </row>
    <row r="368" spans="1:25">
      <c r="A368" s="349">
        <v>339</v>
      </c>
      <c r="B368" s="353" t="s">
        <v>315</v>
      </c>
      <c r="C368" s="349" t="s">
        <v>365</v>
      </c>
      <c r="D368" s="357">
        <v>15434</v>
      </c>
      <c r="E368" s="357">
        <v>15434</v>
      </c>
      <c r="F368" s="357">
        <v>15434</v>
      </c>
      <c r="G368" s="357">
        <v>15434</v>
      </c>
      <c r="H368" s="357">
        <v>15434</v>
      </c>
      <c r="I368" s="357">
        <v>15434</v>
      </c>
      <c r="J368" s="357">
        <v>15433.6144</v>
      </c>
      <c r="K368" s="357">
        <v>15433.6144</v>
      </c>
      <c r="L368" s="357">
        <v>15434</v>
      </c>
      <c r="M368" s="357">
        <v>15434</v>
      </c>
      <c r="N368" s="357">
        <v>17639</v>
      </c>
      <c r="O368" s="357">
        <v>15434</v>
      </c>
      <c r="P368" s="357">
        <v>15434</v>
      </c>
      <c r="Q368" s="357">
        <v>15434</v>
      </c>
      <c r="R368" s="357">
        <v>15433.6144</v>
      </c>
      <c r="S368" s="357">
        <v>15434</v>
      </c>
      <c r="T368" s="357">
        <v>15434</v>
      </c>
      <c r="U368" s="357">
        <v>15434</v>
      </c>
      <c r="X368" s="357"/>
      <c r="Y368" s="499"/>
    </row>
    <row r="369" spans="1:25">
      <c r="A369" s="349">
        <v>340</v>
      </c>
      <c r="B369" s="353" t="s">
        <v>316</v>
      </c>
      <c r="C369" s="349" t="s">
        <v>365</v>
      </c>
      <c r="D369" s="357">
        <v>31750</v>
      </c>
      <c r="E369" s="357">
        <v>31750</v>
      </c>
      <c r="F369" s="357">
        <v>31750</v>
      </c>
      <c r="G369" s="357">
        <v>31750</v>
      </c>
      <c r="H369" s="357">
        <v>31750</v>
      </c>
      <c r="I369" s="357">
        <v>31750</v>
      </c>
      <c r="J369" s="357">
        <v>31750.211199999998</v>
      </c>
      <c r="K369" s="357">
        <v>31750.211199999998</v>
      </c>
      <c r="L369" s="357">
        <v>31750</v>
      </c>
      <c r="M369" s="357">
        <v>31750</v>
      </c>
      <c r="N369" s="357">
        <v>36285</v>
      </c>
      <c r="O369" s="357">
        <v>31750</v>
      </c>
      <c r="P369" s="357">
        <v>31750</v>
      </c>
      <c r="Q369" s="357">
        <v>31750</v>
      </c>
      <c r="R369" s="357">
        <v>31750.211199999998</v>
      </c>
      <c r="S369" s="357">
        <v>31750</v>
      </c>
      <c r="T369" s="357">
        <v>31750</v>
      </c>
      <c r="U369" s="357">
        <v>31750</v>
      </c>
      <c r="X369" s="357"/>
      <c r="Y369" s="499"/>
    </row>
    <row r="370" spans="1:25">
      <c r="A370" s="349">
        <v>341</v>
      </c>
      <c r="B370" s="353" t="s">
        <v>317</v>
      </c>
      <c r="C370" s="349" t="s">
        <v>365</v>
      </c>
      <c r="D370" s="357">
        <v>911</v>
      </c>
      <c r="E370" s="357">
        <v>911</v>
      </c>
      <c r="F370" s="357">
        <v>911</v>
      </c>
      <c r="G370" s="357">
        <v>911</v>
      </c>
      <c r="H370" s="357">
        <v>911</v>
      </c>
      <c r="I370" s="357">
        <v>911</v>
      </c>
      <c r="J370" s="357">
        <v>911.39519999999993</v>
      </c>
      <c r="K370" s="357">
        <v>911.39519999999993</v>
      </c>
      <c r="L370" s="357">
        <v>911</v>
      </c>
      <c r="M370" s="357">
        <v>911</v>
      </c>
      <c r="N370" s="357">
        <v>1041</v>
      </c>
      <c r="O370" s="357">
        <v>911</v>
      </c>
      <c r="P370" s="357">
        <v>911</v>
      </c>
      <c r="Q370" s="357">
        <v>911</v>
      </c>
      <c r="R370" s="357">
        <v>911.39519999999993</v>
      </c>
      <c r="S370" s="357">
        <v>911</v>
      </c>
      <c r="T370" s="357">
        <v>911</v>
      </c>
      <c r="U370" s="357">
        <v>911</v>
      </c>
      <c r="X370" s="357"/>
      <c r="Y370" s="499"/>
    </row>
    <row r="371" spans="1:25">
      <c r="A371" s="349">
        <v>342</v>
      </c>
      <c r="B371" s="353" t="s">
        <v>318</v>
      </c>
      <c r="C371" s="349" t="s">
        <v>365</v>
      </c>
      <c r="D371" s="357">
        <v>811</v>
      </c>
      <c r="E371" s="357">
        <v>811</v>
      </c>
      <c r="F371" s="357">
        <v>811</v>
      </c>
      <c r="G371" s="357">
        <v>811</v>
      </c>
      <c r="H371" s="357">
        <v>811</v>
      </c>
      <c r="I371" s="357">
        <v>811</v>
      </c>
      <c r="J371" s="357">
        <v>810.85760000000005</v>
      </c>
      <c r="K371" s="357">
        <v>810.85760000000005</v>
      </c>
      <c r="L371" s="357">
        <v>811</v>
      </c>
      <c r="M371" s="357">
        <v>811</v>
      </c>
      <c r="N371" s="357">
        <v>927</v>
      </c>
      <c r="O371" s="357">
        <v>811</v>
      </c>
      <c r="P371" s="357">
        <v>811</v>
      </c>
      <c r="Q371" s="357">
        <v>811</v>
      </c>
      <c r="R371" s="357">
        <v>810.85760000000005</v>
      </c>
      <c r="S371" s="357">
        <v>811</v>
      </c>
      <c r="T371" s="357">
        <v>811</v>
      </c>
      <c r="U371" s="357">
        <v>811</v>
      </c>
      <c r="X371" s="357"/>
      <c r="Y371" s="499"/>
    </row>
    <row r="372" spans="1:25">
      <c r="A372" s="349">
        <v>343</v>
      </c>
      <c r="B372" s="353" t="s">
        <v>319</v>
      </c>
      <c r="C372" s="349" t="s">
        <v>365</v>
      </c>
      <c r="D372" s="357">
        <v>527</v>
      </c>
      <c r="E372" s="357">
        <v>527</v>
      </c>
      <c r="F372" s="357">
        <v>527</v>
      </c>
      <c r="G372" s="357">
        <v>527</v>
      </c>
      <c r="H372" s="357">
        <v>527</v>
      </c>
      <c r="I372" s="357">
        <v>527</v>
      </c>
      <c r="J372" s="357">
        <v>526.7296</v>
      </c>
      <c r="K372" s="357">
        <v>526.7296</v>
      </c>
      <c r="L372" s="357">
        <v>527</v>
      </c>
      <c r="M372" s="357">
        <v>527</v>
      </c>
      <c r="N372" s="357">
        <v>602</v>
      </c>
      <c r="O372" s="357">
        <v>527</v>
      </c>
      <c r="P372" s="357">
        <v>527</v>
      </c>
      <c r="Q372" s="357">
        <v>527</v>
      </c>
      <c r="R372" s="357">
        <v>526.7296</v>
      </c>
      <c r="S372" s="357">
        <v>527</v>
      </c>
      <c r="T372" s="357">
        <v>527</v>
      </c>
      <c r="U372" s="357">
        <v>527</v>
      </c>
      <c r="X372" s="357"/>
      <c r="Y372" s="499"/>
    </row>
    <row r="373" spans="1:25">
      <c r="A373" s="349">
        <v>344</v>
      </c>
      <c r="B373" s="353" t="s">
        <v>320</v>
      </c>
      <c r="C373" s="349" t="s">
        <v>365</v>
      </c>
      <c r="D373" s="357">
        <v>685</v>
      </c>
      <c r="E373" s="357">
        <v>685</v>
      </c>
      <c r="F373" s="357">
        <v>685</v>
      </c>
      <c r="G373" s="357">
        <v>685</v>
      </c>
      <c r="H373" s="357">
        <v>685</v>
      </c>
      <c r="I373" s="357">
        <v>685</v>
      </c>
      <c r="J373" s="357">
        <v>685.18560000000002</v>
      </c>
      <c r="K373" s="357">
        <v>685.18560000000002</v>
      </c>
      <c r="L373" s="357">
        <v>685</v>
      </c>
      <c r="M373" s="357">
        <v>685</v>
      </c>
      <c r="N373" s="357">
        <v>782</v>
      </c>
      <c r="O373" s="357">
        <v>685</v>
      </c>
      <c r="P373" s="357">
        <v>685</v>
      </c>
      <c r="Q373" s="357">
        <v>685</v>
      </c>
      <c r="R373" s="357">
        <v>685.18560000000002</v>
      </c>
      <c r="S373" s="357">
        <v>685</v>
      </c>
      <c r="T373" s="357">
        <v>685</v>
      </c>
      <c r="U373" s="357">
        <v>685</v>
      </c>
      <c r="X373" s="357"/>
      <c r="Y373" s="499"/>
    </row>
    <row r="374" spans="1:25">
      <c r="A374" s="349">
        <v>345</v>
      </c>
      <c r="B374" s="353" t="s">
        <v>321</v>
      </c>
      <c r="C374" s="349" t="s">
        <v>365</v>
      </c>
      <c r="D374" s="357">
        <v>865</v>
      </c>
      <c r="E374" s="357">
        <v>865</v>
      </c>
      <c r="F374" s="357">
        <v>865</v>
      </c>
      <c r="G374" s="357">
        <v>865</v>
      </c>
      <c r="H374" s="357">
        <v>865</v>
      </c>
      <c r="I374" s="357">
        <v>865</v>
      </c>
      <c r="J374" s="357">
        <v>865.49760000000003</v>
      </c>
      <c r="K374" s="357">
        <v>865.49760000000003</v>
      </c>
      <c r="L374" s="357">
        <v>865</v>
      </c>
      <c r="M374" s="357">
        <v>865</v>
      </c>
      <c r="N374" s="357">
        <v>989</v>
      </c>
      <c r="O374" s="357">
        <v>865</v>
      </c>
      <c r="P374" s="357">
        <v>865</v>
      </c>
      <c r="Q374" s="357">
        <v>865</v>
      </c>
      <c r="R374" s="357">
        <v>865.49760000000003</v>
      </c>
      <c r="S374" s="357">
        <v>865</v>
      </c>
      <c r="T374" s="357">
        <v>865</v>
      </c>
      <c r="U374" s="357">
        <v>865</v>
      </c>
      <c r="X374" s="357"/>
      <c r="Y374" s="499"/>
    </row>
    <row r="375" spans="1:25">
      <c r="A375" s="349">
        <v>346</v>
      </c>
      <c r="B375" s="353" t="s">
        <v>322</v>
      </c>
      <c r="C375" s="349" t="s">
        <v>365</v>
      </c>
      <c r="D375" s="357">
        <v>1329</v>
      </c>
      <c r="E375" s="357">
        <v>1329</v>
      </c>
      <c r="F375" s="357">
        <v>1329</v>
      </c>
      <c r="G375" s="357">
        <v>1329</v>
      </c>
      <c r="H375" s="357">
        <v>1329</v>
      </c>
      <c r="I375" s="357">
        <v>1329</v>
      </c>
      <c r="J375" s="357">
        <v>1328.8448000000001</v>
      </c>
      <c r="K375" s="357">
        <v>1328.8448000000001</v>
      </c>
      <c r="L375" s="357">
        <v>1329</v>
      </c>
      <c r="M375" s="357">
        <v>1329</v>
      </c>
      <c r="N375" s="357">
        <v>1518</v>
      </c>
      <c r="O375" s="357">
        <v>1329</v>
      </c>
      <c r="P375" s="357">
        <v>1329</v>
      </c>
      <c r="Q375" s="357">
        <v>1329</v>
      </c>
      <c r="R375" s="357">
        <v>1328.8448000000001</v>
      </c>
      <c r="S375" s="357">
        <v>1329</v>
      </c>
      <c r="T375" s="357">
        <v>1329</v>
      </c>
      <c r="U375" s="357">
        <v>1329</v>
      </c>
      <c r="X375" s="357"/>
      <c r="Y375" s="499"/>
    </row>
    <row r="376" spans="1:25">
      <c r="A376" s="349">
        <v>347</v>
      </c>
      <c r="B376" s="353" t="s">
        <v>323</v>
      </c>
      <c r="C376" s="349" t="s">
        <v>365</v>
      </c>
      <c r="D376" s="357">
        <v>938</v>
      </c>
      <c r="E376" s="357">
        <v>938</v>
      </c>
      <c r="F376" s="357">
        <v>938</v>
      </c>
      <c r="G376" s="357">
        <v>938</v>
      </c>
      <c r="H376" s="357">
        <v>938</v>
      </c>
      <c r="I376" s="357">
        <v>938</v>
      </c>
      <c r="J376" s="357">
        <v>937.62239999999997</v>
      </c>
      <c r="K376" s="357">
        <v>937.62239999999997</v>
      </c>
      <c r="L376" s="357">
        <v>938</v>
      </c>
      <c r="M376" s="357">
        <v>938</v>
      </c>
      <c r="N376" s="357">
        <v>1071</v>
      </c>
      <c r="O376" s="357">
        <v>938</v>
      </c>
      <c r="P376" s="357">
        <v>938</v>
      </c>
      <c r="Q376" s="357">
        <v>938</v>
      </c>
      <c r="R376" s="357">
        <v>937.62239999999997</v>
      </c>
      <c r="S376" s="357">
        <v>938</v>
      </c>
      <c r="T376" s="357">
        <v>938</v>
      </c>
      <c r="U376" s="357">
        <v>938</v>
      </c>
      <c r="X376" s="357"/>
      <c r="Y376" s="499"/>
    </row>
    <row r="377" spans="1:25">
      <c r="A377" s="349">
        <v>348</v>
      </c>
      <c r="B377" s="353" t="s">
        <v>324</v>
      </c>
      <c r="C377" s="349" t="s">
        <v>365</v>
      </c>
      <c r="D377" s="357">
        <v>938</v>
      </c>
      <c r="E377" s="357">
        <v>938</v>
      </c>
      <c r="F377" s="357">
        <v>938</v>
      </c>
      <c r="G377" s="357">
        <v>938</v>
      </c>
      <c r="H377" s="357">
        <v>938</v>
      </c>
      <c r="I377" s="357">
        <v>938</v>
      </c>
      <c r="J377" s="357">
        <v>937.62239999999997</v>
      </c>
      <c r="K377" s="357">
        <v>937.62239999999997</v>
      </c>
      <c r="L377" s="357">
        <v>938</v>
      </c>
      <c r="M377" s="357">
        <v>938</v>
      </c>
      <c r="N377" s="357">
        <v>1071</v>
      </c>
      <c r="O377" s="357">
        <v>938</v>
      </c>
      <c r="P377" s="357">
        <v>938</v>
      </c>
      <c r="Q377" s="357">
        <v>938</v>
      </c>
      <c r="R377" s="357">
        <v>937.62239999999997</v>
      </c>
      <c r="S377" s="357">
        <v>938</v>
      </c>
      <c r="T377" s="357">
        <v>938</v>
      </c>
      <c r="U377" s="357">
        <v>938</v>
      </c>
      <c r="X377" s="357"/>
      <c r="Y377" s="499"/>
    </row>
    <row r="378" spans="1:25">
      <c r="A378" s="349">
        <v>349</v>
      </c>
      <c r="B378" s="353" t="s">
        <v>325</v>
      </c>
      <c r="C378" s="349" t="s">
        <v>365</v>
      </c>
      <c r="D378" s="357">
        <v>938</v>
      </c>
      <c r="E378" s="357">
        <v>938</v>
      </c>
      <c r="F378" s="357">
        <v>938</v>
      </c>
      <c r="G378" s="357">
        <v>938</v>
      </c>
      <c r="H378" s="357">
        <v>938</v>
      </c>
      <c r="I378" s="357">
        <v>938</v>
      </c>
      <c r="J378" s="357">
        <v>937.62239999999997</v>
      </c>
      <c r="K378" s="357">
        <v>937.62239999999997</v>
      </c>
      <c r="L378" s="357">
        <v>938</v>
      </c>
      <c r="M378" s="357">
        <v>938</v>
      </c>
      <c r="N378" s="357">
        <v>1071</v>
      </c>
      <c r="O378" s="357">
        <v>938</v>
      </c>
      <c r="P378" s="357">
        <v>938</v>
      </c>
      <c r="Q378" s="357">
        <v>938</v>
      </c>
      <c r="R378" s="357">
        <v>937.62239999999997</v>
      </c>
      <c r="S378" s="357">
        <v>938</v>
      </c>
      <c r="T378" s="357">
        <v>938</v>
      </c>
      <c r="U378" s="357">
        <v>938</v>
      </c>
      <c r="X378" s="357"/>
      <c r="Y378" s="499"/>
    </row>
    <row r="379" spans="1:25">
      <c r="A379" s="349">
        <v>350</v>
      </c>
      <c r="B379" s="353" t="s">
        <v>326</v>
      </c>
      <c r="C379" s="349" t="s">
        <v>365</v>
      </c>
      <c r="D379" s="357">
        <v>1375</v>
      </c>
      <c r="E379" s="357">
        <v>1375</v>
      </c>
      <c r="F379" s="357">
        <v>1375</v>
      </c>
      <c r="G379" s="357">
        <v>1375</v>
      </c>
      <c r="H379" s="357">
        <v>1375</v>
      </c>
      <c r="I379" s="357">
        <v>1375</v>
      </c>
      <c r="J379" s="357">
        <v>1374.7424000000001</v>
      </c>
      <c r="K379" s="357">
        <v>1374.7424000000001</v>
      </c>
      <c r="L379" s="357">
        <v>1375</v>
      </c>
      <c r="M379" s="357">
        <v>1375</v>
      </c>
      <c r="N379" s="357">
        <v>1570</v>
      </c>
      <c r="O379" s="357">
        <v>1375</v>
      </c>
      <c r="P379" s="357">
        <v>1375</v>
      </c>
      <c r="Q379" s="357">
        <v>1375</v>
      </c>
      <c r="R379" s="357">
        <v>1374.7424000000001</v>
      </c>
      <c r="S379" s="357">
        <v>1375</v>
      </c>
      <c r="T379" s="357">
        <v>1375</v>
      </c>
      <c r="U379" s="357">
        <v>1375</v>
      </c>
      <c r="X379" s="357"/>
      <c r="Y379" s="499"/>
    </row>
    <row r="380" spans="1:25">
      <c r="A380" s="349">
        <v>351</v>
      </c>
      <c r="B380" s="353" t="s">
        <v>327</v>
      </c>
      <c r="C380" s="349" t="s">
        <v>365</v>
      </c>
      <c r="D380" s="357">
        <v>4123</v>
      </c>
      <c r="E380" s="357">
        <v>4123</v>
      </c>
      <c r="F380" s="357">
        <v>4123</v>
      </c>
      <c r="G380" s="357">
        <v>4123</v>
      </c>
      <c r="H380" s="357">
        <v>4123</v>
      </c>
      <c r="I380" s="357">
        <v>4123</v>
      </c>
      <c r="J380" s="357">
        <v>4123.1343999999999</v>
      </c>
      <c r="K380" s="357">
        <v>4123.1343999999999</v>
      </c>
      <c r="L380" s="357">
        <v>4123</v>
      </c>
      <c r="M380" s="357">
        <v>4123</v>
      </c>
      <c r="N380" s="357">
        <v>4712</v>
      </c>
      <c r="O380" s="357">
        <v>4123</v>
      </c>
      <c r="P380" s="357">
        <v>4123</v>
      </c>
      <c r="Q380" s="357">
        <v>4123</v>
      </c>
      <c r="R380" s="357">
        <v>4123.1343999999999</v>
      </c>
      <c r="S380" s="357">
        <v>4123</v>
      </c>
      <c r="T380" s="357">
        <v>4123</v>
      </c>
      <c r="U380" s="357">
        <v>4123</v>
      </c>
      <c r="X380" s="357"/>
      <c r="Y380" s="499"/>
    </row>
    <row r="381" spans="1:25">
      <c r="A381" s="349">
        <v>352</v>
      </c>
      <c r="B381" s="353" t="s">
        <v>328</v>
      </c>
      <c r="C381" s="349" t="s">
        <v>365</v>
      </c>
      <c r="D381" s="357">
        <v>14379</v>
      </c>
      <c r="E381" s="357">
        <v>14379</v>
      </c>
      <c r="F381" s="357">
        <v>14379</v>
      </c>
      <c r="G381" s="357">
        <v>14379</v>
      </c>
      <c r="H381" s="357">
        <v>14379</v>
      </c>
      <c r="I381" s="357">
        <v>14379</v>
      </c>
      <c r="J381" s="357">
        <v>14379.062400000001</v>
      </c>
      <c r="K381" s="357">
        <v>14379.062400000001</v>
      </c>
      <c r="L381" s="357">
        <v>14379</v>
      </c>
      <c r="M381" s="357">
        <v>14379</v>
      </c>
      <c r="N381" s="357">
        <v>16434</v>
      </c>
      <c r="O381" s="357">
        <v>14379</v>
      </c>
      <c r="P381" s="357">
        <v>14379</v>
      </c>
      <c r="Q381" s="357">
        <v>14379</v>
      </c>
      <c r="R381" s="357">
        <v>14379.062400000001</v>
      </c>
      <c r="S381" s="357">
        <v>14379</v>
      </c>
      <c r="T381" s="357">
        <v>14379</v>
      </c>
      <c r="U381" s="357">
        <v>14379</v>
      </c>
      <c r="X381" s="357"/>
      <c r="Y381" s="499"/>
    </row>
    <row r="382" spans="1:25">
      <c r="A382" s="349">
        <v>353</v>
      </c>
      <c r="B382" s="353" t="s">
        <v>329</v>
      </c>
      <c r="C382" s="349" t="s">
        <v>365</v>
      </c>
      <c r="D382" s="357">
        <v>1352</v>
      </c>
      <c r="E382" s="357">
        <v>1352</v>
      </c>
      <c r="F382" s="357">
        <v>1352</v>
      </c>
      <c r="G382" s="357">
        <v>1352</v>
      </c>
      <c r="H382" s="357">
        <v>1352</v>
      </c>
      <c r="I382" s="357">
        <v>1352</v>
      </c>
      <c r="J382" s="357">
        <v>1351.7936</v>
      </c>
      <c r="K382" s="357">
        <v>1351.7936</v>
      </c>
      <c r="L382" s="357">
        <v>1352</v>
      </c>
      <c r="M382" s="357">
        <v>1352</v>
      </c>
      <c r="N382" s="357">
        <v>1544</v>
      </c>
      <c r="O382" s="357">
        <v>1352</v>
      </c>
      <c r="P382" s="357">
        <v>1352</v>
      </c>
      <c r="Q382" s="357">
        <v>1352</v>
      </c>
      <c r="R382" s="357">
        <v>1351.7936</v>
      </c>
      <c r="S382" s="357">
        <v>1352</v>
      </c>
      <c r="T382" s="357">
        <v>1352</v>
      </c>
      <c r="U382" s="357">
        <v>1352</v>
      </c>
      <c r="X382" s="357"/>
      <c r="Y382" s="499"/>
    </row>
    <row r="383" spans="1:25">
      <c r="A383" s="349">
        <v>354</v>
      </c>
      <c r="B383" s="353" t="s">
        <v>330</v>
      </c>
      <c r="C383" s="349" t="s">
        <v>365</v>
      </c>
      <c r="D383" s="357">
        <v>3619</v>
      </c>
      <c r="E383" s="357">
        <v>3619</v>
      </c>
      <c r="F383" s="357">
        <v>3619</v>
      </c>
      <c r="G383" s="357">
        <v>3619</v>
      </c>
      <c r="H383" s="357">
        <v>3619</v>
      </c>
      <c r="I383" s="357">
        <v>3619</v>
      </c>
      <c r="J383" s="357">
        <v>3619.3535999999999</v>
      </c>
      <c r="K383" s="357">
        <v>3619.3535999999999</v>
      </c>
      <c r="L383" s="357">
        <v>3619</v>
      </c>
      <c r="M383" s="357">
        <v>3619</v>
      </c>
      <c r="N383" s="357">
        <v>4136</v>
      </c>
      <c r="O383" s="357">
        <v>3619</v>
      </c>
      <c r="P383" s="357">
        <v>3619</v>
      </c>
      <c r="Q383" s="357">
        <v>3619</v>
      </c>
      <c r="R383" s="357">
        <v>3619.3535999999999</v>
      </c>
      <c r="S383" s="357">
        <v>3619</v>
      </c>
      <c r="T383" s="357">
        <v>3619</v>
      </c>
      <c r="U383" s="357">
        <v>3619</v>
      </c>
      <c r="X383" s="357"/>
      <c r="Y383" s="499"/>
    </row>
    <row r="384" spans="1:25">
      <c r="A384" s="349">
        <v>355</v>
      </c>
      <c r="B384" s="353" t="s">
        <v>331</v>
      </c>
      <c r="C384" s="349" t="s">
        <v>365</v>
      </c>
      <c r="D384" s="357">
        <v>962</v>
      </c>
      <c r="E384" s="357">
        <v>962</v>
      </c>
      <c r="F384" s="357">
        <v>962</v>
      </c>
      <c r="G384" s="357">
        <v>962</v>
      </c>
      <c r="H384" s="357">
        <v>962</v>
      </c>
      <c r="I384" s="357">
        <v>962</v>
      </c>
      <c r="J384" s="357">
        <v>961.66399999999999</v>
      </c>
      <c r="K384" s="357">
        <v>961.66399999999999</v>
      </c>
      <c r="L384" s="357">
        <v>962</v>
      </c>
      <c r="M384" s="357">
        <v>962</v>
      </c>
      <c r="N384" s="357">
        <v>1099</v>
      </c>
      <c r="O384" s="357">
        <v>962</v>
      </c>
      <c r="P384" s="357">
        <v>962</v>
      </c>
      <c r="Q384" s="357">
        <v>962</v>
      </c>
      <c r="R384" s="357">
        <v>961.66399999999999</v>
      </c>
      <c r="S384" s="357">
        <v>962</v>
      </c>
      <c r="T384" s="357">
        <v>962</v>
      </c>
      <c r="U384" s="357">
        <v>962</v>
      </c>
      <c r="X384" s="357"/>
      <c r="Y384" s="499"/>
    </row>
    <row r="385" spans="1:25">
      <c r="A385" s="349">
        <v>356</v>
      </c>
      <c r="B385" s="353" t="s">
        <v>332</v>
      </c>
      <c r="C385" s="349" t="s">
        <v>365</v>
      </c>
      <c r="D385" s="357">
        <v>3642</v>
      </c>
      <c r="E385" s="357">
        <v>3642</v>
      </c>
      <c r="F385" s="357">
        <v>3642</v>
      </c>
      <c r="G385" s="357">
        <v>3642</v>
      </c>
      <c r="H385" s="357">
        <v>3642</v>
      </c>
      <c r="I385" s="357">
        <v>3642</v>
      </c>
      <c r="J385" s="357">
        <v>3642.3024</v>
      </c>
      <c r="K385" s="357">
        <v>3642.3024</v>
      </c>
      <c r="L385" s="357">
        <v>3642</v>
      </c>
      <c r="M385" s="357">
        <v>3642</v>
      </c>
      <c r="N385" s="357">
        <v>4162</v>
      </c>
      <c r="O385" s="357">
        <v>3642</v>
      </c>
      <c r="P385" s="357">
        <v>3642</v>
      </c>
      <c r="Q385" s="357">
        <v>3642</v>
      </c>
      <c r="R385" s="357">
        <v>3642.3024</v>
      </c>
      <c r="S385" s="357">
        <v>3642</v>
      </c>
      <c r="T385" s="357">
        <v>3642</v>
      </c>
      <c r="U385" s="357">
        <v>3642</v>
      </c>
      <c r="X385" s="357"/>
      <c r="Y385" s="499"/>
    </row>
    <row r="386" spans="1:25">
      <c r="A386" s="349">
        <v>357</v>
      </c>
      <c r="B386" s="353" t="s">
        <v>333</v>
      </c>
      <c r="C386" s="349" t="s">
        <v>365</v>
      </c>
      <c r="D386" s="357">
        <v>2474</v>
      </c>
      <c r="E386" s="357">
        <v>2474</v>
      </c>
      <c r="F386" s="357">
        <v>2474</v>
      </c>
      <c r="G386" s="357">
        <v>2474</v>
      </c>
      <c r="H386" s="357">
        <v>2474</v>
      </c>
      <c r="I386" s="357">
        <v>2474</v>
      </c>
      <c r="J386" s="357">
        <v>2474.0992000000001</v>
      </c>
      <c r="K386" s="357">
        <v>2474.0992000000001</v>
      </c>
      <c r="L386" s="357">
        <v>2474</v>
      </c>
      <c r="M386" s="357">
        <v>2474</v>
      </c>
      <c r="N386" s="357">
        <v>2827</v>
      </c>
      <c r="O386" s="357">
        <v>2474</v>
      </c>
      <c r="P386" s="357">
        <v>2474</v>
      </c>
      <c r="Q386" s="357">
        <v>2474</v>
      </c>
      <c r="R386" s="357">
        <v>2474.0992000000001</v>
      </c>
      <c r="S386" s="357">
        <v>2474</v>
      </c>
      <c r="T386" s="357">
        <v>2474</v>
      </c>
      <c r="U386" s="357">
        <v>2474</v>
      </c>
      <c r="X386" s="357"/>
      <c r="Y386" s="499"/>
    </row>
    <row r="387" spans="1:25">
      <c r="A387" s="349">
        <v>358</v>
      </c>
      <c r="B387" s="353" t="s">
        <v>334</v>
      </c>
      <c r="C387" s="349" t="s">
        <v>365</v>
      </c>
      <c r="D387" s="357">
        <v>17129</v>
      </c>
      <c r="E387" s="357">
        <v>17129</v>
      </c>
      <c r="F387" s="357">
        <v>17129</v>
      </c>
      <c r="G387" s="357">
        <v>17129</v>
      </c>
      <c r="H387" s="357">
        <v>17129</v>
      </c>
      <c r="I387" s="357">
        <v>17129</v>
      </c>
      <c r="J387" s="357">
        <v>17128.547200000001</v>
      </c>
      <c r="K387" s="357">
        <v>17128.547200000001</v>
      </c>
      <c r="L387" s="357">
        <v>17129</v>
      </c>
      <c r="M387" s="357">
        <v>17129</v>
      </c>
      <c r="N387" s="357">
        <v>19575</v>
      </c>
      <c r="O387" s="357">
        <v>17129</v>
      </c>
      <c r="P387" s="357">
        <v>17129</v>
      </c>
      <c r="Q387" s="357">
        <v>17129</v>
      </c>
      <c r="R387" s="357">
        <v>17128.547200000001</v>
      </c>
      <c r="S387" s="357">
        <v>17129</v>
      </c>
      <c r="T387" s="357">
        <v>17129</v>
      </c>
      <c r="U387" s="357">
        <v>17129</v>
      </c>
      <c r="X387" s="357"/>
      <c r="Y387" s="499"/>
    </row>
    <row r="388" spans="1:25">
      <c r="A388" s="349">
        <v>359</v>
      </c>
      <c r="B388" s="353" t="s">
        <v>335</v>
      </c>
      <c r="C388" s="349" t="s">
        <v>365</v>
      </c>
      <c r="D388" s="357">
        <v>1279</v>
      </c>
      <c r="E388" s="357">
        <v>1279</v>
      </c>
      <c r="F388" s="357">
        <v>1279</v>
      </c>
      <c r="G388" s="357">
        <v>1279</v>
      </c>
      <c r="H388" s="357">
        <v>1279</v>
      </c>
      <c r="I388" s="357">
        <v>1279</v>
      </c>
      <c r="J388" s="357">
        <v>1278.576</v>
      </c>
      <c r="K388" s="357">
        <v>1278.576</v>
      </c>
      <c r="L388" s="357">
        <v>1279</v>
      </c>
      <c r="M388" s="357">
        <v>1279</v>
      </c>
      <c r="N388" s="357">
        <v>1461</v>
      </c>
      <c r="O388" s="357">
        <v>1279</v>
      </c>
      <c r="P388" s="357">
        <v>1279</v>
      </c>
      <c r="Q388" s="357">
        <v>1279</v>
      </c>
      <c r="R388" s="357">
        <v>1278.576</v>
      </c>
      <c r="S388" s="357">
        <v>1279</v>
      </c>
      <c r="T388" s="357">
        <v>1279</v>
      </c>
      <c r="U388" s="357">
        <v>1279</v>
      </c>
      <c r="X388" s="357"/>
      <c r="Y388" s="499"/>
    </row>
    <row r="389" spans="1:25">
      <c r="A389" s="349">
        <v>360</v>
      </c>
      <c r="B389" s="353" t="s">
        <v>336</v>
      </c>
      <c r="C389" s="349" t="s">
        <v>365</v>
      </c>
      <c r="D389" s="357">
        <v>5264</v>
      </c>
      <c r="E389" s="357">
        <v>5264</v>
      </c>
      <c r="F389" s="357">
        <v>5264</v>
      </c>
      <c r="G389" s="357">
        <v>5264</v>
      </c>
      <c r="H389" s="357">
        <v>5264</v>
      </c>
      <c r="I389" s="357">
        <v>5264</v>
      </c>
      <c r="J389" s="357">
        <v>5264.0176000000001</v>
      </c>
      <c r="K389" s="357">
        <v>5264.0176000000001</v>
      </c>
      <c r="L389" s="357">
        <v>5264</v>
      </c>
      <c r="M389" s="357">
        <v>5264</v>
      </c>
      <c r="N389" s="357">
        <v>6016</v>
      </c>
      <c r="O389" s="357">
        <v>5264</v>
      </c>
      <c r="P389" s="357">
        <v>5264</v>
      </c>
      <c r="Q389" s="357">
        <v>5264</v>
      </c>
      <c r="R389" s="357">
        <v>5264.0176000000001</v>
      </c>
      <c r="S389" s="357">
        <v>5264</v>
      </c>
      <c r="T389" s="357">
        <v>5264</v>
      </c>
      <c r="U389" s="357">
        <v>5264</v>
      </c>
      <c r="X389" s="357"/>
      <c r="Y389" s="499"/>
    </row>
    <row r="390" spans="1:25">
      <c r="A390" s="349">
        <v>361</v>
      </c>
      <c r="B390" s="353" t="s">
        <v>337</v>
      </c>
      <c r="C390" s="349" t="s">
        <v>365</v>
      </c>
      <c r="D390" s="357">
        <v>50346</v>
      </c>
      <c r="E390" s="357">
        <v>50346</v>
      </c>
      <c r="F390" s="357">
        <v>50346</v>
      </c>
      <c r="G390" s="357">
        <v>50346</v>
      </c>
      <c r="H390" s="357">
        <v>50346</v>
      </c>
      <c r="I390" s="357">
        <v>50346</v>
      </c>
      <c r="J390" s="357">
        <v>50346.388800000001</v>
      </c>
      <c r="K390" s="357">
        <v>50346.388800000001</v>
      </c>
      <c r="L390" s="357">
        <v>50346</v>
      </c>
      <c r="M390" s="357">
        <v>50346</v>
      </c>
      <c r="N390" s="357">
        <v>57539</v>
      </c>
      <c r="O390" s="357">
        <v>37085</v>
      </c>
      <c r="P390" s="357">
        <v>37085</v>
      </c>
      <c r="Q390" s="357">
        <v>37085</v>
      </c>
      <c r="R390" s="357">
        <v>37085.260799999996</v>
      </c>
      <c r="S390" s="357">
        <v>37085</v>
      </c>
      <c r="T390" s="357">
        <v>37085</v>
      </c>
      <c r="U390" s="357">
        <v>37085</v>
      </c>
      <c r="X390" s="357"/>
      <c r="Y390" s="499"/>
    </row>
    <row r="391" spans="1:25">
      <c r="A391" s="349">
        <v>362</v>
      </c>
      <c r="B391" s="353" t="s">
        <v>338</v>
      </c>
      <c r="C391" s="349" t="s">
        <v>365</v>
      </c>
      <c r="D391" s="357">
        <v>36649</v>
      </c>
      <c r="E391" s="357">
        <v>36649</v>
      </c>
      <c r="F391" s="357">
        <v>36649</v>
      </c>
      <c r="G391" s="357">
        <v>36649</v>
      </c>
      <c r="H391" s="357">
        <v>36649</v>
      </c>
      <c r="I391" s="357">
        <v>36649</v>
      </c>
      <c r="J391" s="357">
        <v>36649.2336</v>
      </c>
      <c r="K391" s="357">
        <v>36649.2336</v>
      </c>
      <c r="L391" s="357">
        <v>36649</v>
      </c>
      <c r="M391" s="357">
        <v>36649</v>
      </c>
      <c r="N391" s="357">
        <v>41885</v>
      </c>
      <c r="O391" s="357">
        <v>36649</v>
      </c>
      <c r="P391" s="357">
        <v>36649</v>
      </c>
      <c r="Q391" s="357">
        <v>36649</v>
      </c>
      <c r="R391" s="357">
        <v>36649.2336</v>
      </c>
      <c r="S391" s="357">
        <v>36649</v>
      </c>
      <c r="T391" s="357">
        <v>36649</v>
      </c>
      <c r="U391" s="357">
        <v>36649</v>
      </c>
      <c r="X391" s="357"/>
      <c r="Y391" s="499"/>
    </row>
    <row r="392" spans="1:25" ht="18">
      <c r="A392" s="349">
        <v>363</v>
      </c>
      <c r="B392" s="353" t="s">
        <v>339</v>
      </c>
      <c r="C392" s="349" t="s">
        <v>366</v>
      </c>
      <c r="D392" s="357">
        <v>15576</v>
      </c>
      <c r="E392" s="357">
        <v>15576</v>
      </c>
      <c r="F392" s="357">
        <v>15576</v>
      </c>
      <c r="G392" s="357">
        <v>15576</v>
      </c>
      <c r="H392" s="357">
        <v>15576</v>
      </c>
      <c r="I392" s="357">
        <v>15576</v>
      </c>
      <c r="J392" s="357">
        <v>15575.678400000001</v>
      </c>
      <c r="K392" s="357">
        <v>15575.678400000001</v>
      </c>
      <c r="L392" s="357">
        <v>15576</v>
      </c>
      <c r="M392" s="357">
        <v>15576</v>
      </c>
      <c r="N392" s="357">
        <v>17801</v>
      </c>
      <c r="O392" s="357">
        <v>15576</v>
      </c>
      <c r="P392" s="357">
        <v>15576</v>
      </c>
      <c r="Q392" s="357">
        <v>15576</v>
      </c>
      <c r="R392" s="357">
        <v>15575.678400000001</v>
      </c>
      <c r="S392" s="357">
        <v>15576</v>
      </c>
      <c r="T392" s="357">
        <v>15576</v>
      </c>
      <c r="U392" s="357">
        <v>15576</v>
      </c>
      <c r="X392" s="357"/>
      <c r="Y392" s="499"/>
    </row>
    <row r="393" spans="1:25">
      <c r="A393" s="349">
        <v>364</v>
      </c>
      <c r="B393" s="353" t="s">
        <v>339</v>
      </c>
      <c r="C393" s="349" t="s">
        <v>365</v>
      </c>
      <c r="D393" s="357">
        <v>15576</v>
      </c>
      <c r="E393" s="357">
        <v>15576</v>
      </c>
      <c r="F393" s="357">
        <v>15576</v>
      </c>
      <c r="G393" s="357">
        <v>15576</v>
      </c>
      <c r="H393" s="357">
        <v>15576</v>
      </c>
      <c r="I393" s="357">
        <v>15576</v>
      </c>
      <c r="J393" s="357">
        <v>15575.678400000001</v>
      </c>
      <c r="K393" s="357">
        <v>15575.678400000001</v>
      </c>
      <c r="L393" s="357">
        <v>15576</v>
      </c>
      <c r="M393" s="357">
        <v>15576</v>
      </c>
      <c r="N393" s="357">
        <v>17801</v>
      </c>
      <c r="O393" s="357">
        <v>15576</v>
      </c>
      <c r="P393" s="357">
        <v>15576</v>
      </c>
      <c r="Q393" s="357">
        <v>15576</v>
      </c>
      <c r="R393" s="357">
        <v>15575.678400000001</v>
      </c>
      <c r="S393" s="357">
        <v>15576</v>
      </c>
      <c r="T393" s="357">
        <v>15576</v>
      </c>
      <c r="U393" s="357">
        <v>15576</v>
      </c>
      <c r="X393" s="357"/>
      <c r="Y393" s="499"/>
    </row>
    <row r="394" spans="1:25" ht="18">
      <c r="A394" s="349">
        <v>365</v>
      </c>
      <c r="B394" s="353" t="s">
        <v>340</v>
      </c>
      <c r="C394" s="349" t="s">
        <v>366</v>
      </c>
      <c r="D394" s="357">
        <v>19037</v>
      </c>
      <c r="E394" s="357">
        <v>19037</v>
      </c>
      <c r="F394" s="357">
        <v>19037</v>
      </c>
      <c r="G394" s="357">
        <v>19037</v>
      </c>
      <c r="H394" s="357">
        <v>19037</v>
      </c>
      <c r="I394" s="357">
        <v>19037</v>
      </c>
      <c r="J394" s="357">
        <v>19036.576000000001</v>
      </c>
      <c r="K394" s="357">
        <v>19036.576000000001</v>
      </c>
      <c r="L394" s="357">
        <v>19037</v>
      </c>
      <c r="M394" s="357">
        <v>19037</v>
      </c>
      <c r="N394" s="357">
        <v>21757</v>
      </c>
      <c r="O394" s="357">
        <v>19037</v>
      </c>
      <c r="P394" s="357">
        <v>19037</v>
      </c>
      <c r="Q394" s="357">
        <v>19037</v>
      </c>
      <c r="R394" s="357">
        <v>19036.576000000001</v>
      </c>
      <c r="S394" s="357">
        <v>19037</v>
      </c>
      <c r="T394" s="357">
        <v>19037</v>
      </c>
      <c r="U394" s="357">
        <v>19037</v>
      </c>
      <c r="X394" s="357"/>
      <c r="Y394" s="499"/>
    </row>
    <row r="395" spans="1:25">
      <c r="A395" s="349">
        <v>366</v>
      </c>
      <c r="B395" s="353" t="s">
        <v>340</v>
      </c>
      <c r="C395" s="349" t="s">
        <v>365</v>
      </c>
      <c r="D395" s="357">
        <v>19037</v>
      </c>
      <c r="E395" s="357">
        <v>19037</v>
      </c>
      <c r="F395" s="357">
        <v>19037</v>
      </c>
      <c r="G395" s="357">
        <v>19037</v>
      </c>
      <c r="H395" s="357">
        <v>19037</v>
      </c>
      <c r="I395" s="357">
        <v>19037</v>
      </c>
      <c r="J395" s="357">
        <v>19036.576000000001</v>
      </c>
      <c r="K395" s="357">
        <v>19036.576000000001</v>
      </c>
      <c r="L395" s="357">
        <v>19037</v>
      </c>
      <c r="M395" s="357">
        <v>19037</v>
      </c>
      <c r="N395" s="357">
        <v>21757</v>
      </c>
      <c r="O395" s="357">
        <v>19037</v>
      </c>
      <c r="P395" s="357">
        <v>19037</v>
      </c>
      <c r="Q395" s="357">
        <v>19037</v>
      </c>
      <c r="R395" s="357">
        <v>19036.576000000001</v>
      </c>
      <c r="S395" s="357">
        <v>19037</v>
      </c>
      <c r="T395" s="357">
        <v>19037</v>
      </c>
      <c r="U395" s="357">
        <v>19037</v>
      </c>
      <c r="X395" s="357"/>
      <c r="Y395" s="499"/>
    </row>
    <row r="396" spans="1:25" ht="18">
      <c r="A396" s="349">
        <v>367</v>
      </c>
      <c r="B396" s="353" t="s">
        <v>341</v>
      </c>
      <c r="C396" s="349" t="s">
        <v>366</v>
      </c>
      <c r="D396" s="357">
        <v>22931</v>
      </c>
      <c r="E396" s="357">
        <v>22931</v>
      </c>
      <c r="F396" s="357">
        <v>22931</v>
      </c>
      <c r="G396" s="357">
        <v>22931</v>
      </c>
      <c r="H396" s="357">
        <v>22931</v>
      </c>
      <c r="I396" s="357">
        <v>22931</v>
      </c>
      <c r="J396" s="357">
        <v>22931.315200000001</v>
      </c>
      <c r="K396" s="357">
        <v>22931.315200000001</v>
      </c>
      <c r="L396" s="357">
        <v>22931</v>
      </c>
      <c r="M396" s="357">
        <v>22931</v>
      </c>
      <c r="N396" s="357">
        <v>25959</v>
      </c>
      <c r="O396" s="357">
        <v>22931</v>
      </c>
      <c r="P396" s="357">
        <v>22931</v>
      </c>
      <c r="Q396" s="357">
        <v>22931</v>
      </c>
      <c r="R396" s="357">
        <v>22931.315200000001</v>
      </c>
      <c r="S396" s="357">
        <v>22931</v>
      </c>
      <c r="T396" s="357">
        <v>22931</v>
      </c>
      <c r="U396" s="357">
        <v>22931</v>
      </c>
      <c r="X396" s="357"/>
      <c r="Y396" s="499"/>
    </row>
    <row r="397" spans="1:25">
      <c r="A397" s="349">
        <v>368</v>
      </c>
      <c r="B397" s="353" t="s">
        <v>341</v>
      </c>
      <c r="C397" s="349" t="s">
        <v>365</v>
      </c>
      <c r="D397" s="357">
        <v>22931</v>
      </c>
      <c r="E397" s="357">
        <v>22931</v>
      </c>
      <c r="F397" s="357">
        <v>22931</v>
      </c>
      <c r="G397" s="357">
        <v>22931</v>
      </c>
      <c r="H397" s="357">
        <v>22931</v>
      </c>
      <c r="I397" s="357">
        <v>22931</v>
      </c>
      <c r="J397" s="357">
        <v>22931.315200000001</v>
      </c>
      <c r="K397" s="357">
        <v>22931.315200000001</v>
      </c>
      <c r="L397" s="357">
        <v>22931</v>
      </c>
      <c r="M397" s="357">
        <v>22931</v>
      </c>
      <c r="N397" s="357">
        <v>26206</v>
      </c>
      <c r="O397" s="357">
        <v>22931</v>
      </c>
      <c r="P397" s="357">
        <v>22931</v>
      </c>
      <c r="Q397" s="357">
        <v>22931</v>
      </c>
      <c r="R397" s="357">
        <v>22931.315200000001</v>
      </c>
      <c r="S397" s="357">
        <v>22931</v>
      </c>
      <c r="T397" s="357">
        <v>22931</v>
      </c>
      <c r="U397" s="357">
        <v>22931</v>
      </c>
      <c r="X397" s="357"/>
      <c r="Y397" s="499"/>
    </row>
    <row r="398" spans="1:25">
      <c r="A398" s="349">
        <v>369</v>
      </c>
      <c r="B398" s="353" t="s">
        <v>342</v>
      </c>
      <c r="C398" s="349" t="s">
        <v>365</v>
      </c>
      <c r="D398" s="357">
        <v>137290</v>
      </c>
      <c r="E398" s="357">
        <v>137290</v>
      </c>
      <c r="F398" s="357">
        <v>137290</v>
      </c>
      <c r="G398" s="357">
        <v>137290</v>
      </c>
      <c r="H398" s="357">
        <v>141998</v>
      </c>
      <c r="I398" s="357">
        <v>141998</v>
      </c>
      <c r="J398" s="357">
        <v>141998.432</v>
      </c>
      <c r="K398" s="357">
        <v>137289.55679999999</v>
      </c>
      <c r="L398" s="357">
        <v>137290</v>
      </c>
      <c r="M398" s="357">
        <v>141998</v>
      </c>
      <c r="N398" s="357">
        <v>137290</v>
      </c>
      <c r="O398" s="357">
        <v>194698</v>
      </c>
      <c r="P398" s="357">
        <v>194698</v>
      </c>
      <c r="Q398" s="357">
        <v>194698</v>
      </c>
      <c r="R398" s="357">
        <v>194697.61919999999</v>
      </c>
      <c r="S398" s="357">
        <v>194698</v>
      </c>
      <c r="T398" s="357">
        <v>194698</v>
      </c>
      <c r="U398" s="357">
        <v>194698</v>
      </c>
      <c r="X398" s="357"/>
      <c r="Y398" s="499"/>
    </row>
    <row r="399" spans="1:25" ht="18">
      <c r="A399" s="349">
        <v>370</v>
      </c>
      <c r="B399" s="353" t="s">
        <v>343</v>
      </c>
      <c r="C399" s="349" t="s">
        <v>366</v>
      </c>
      <c r="D399" s="357">
        <v>19779</v>
      </c>
      <c r="E399" s="357">
        <v>19779</v>
      </c>
      <c r="F399" s="357">
        <v>19779</v>
      </c>
      <c r="G399" s="357">
        <v>19779</v>
      </c>
      <c r="H399" s="357">
        <v>19779</v>
      </c>
      <c r="I399" s="357">
        <v>19779</v>
      </c>
      <c r="J399" s="357">
        <v>19778.587200000002</v>
      </c>
      <c r="K399" s="357">
        <v>19778.587200000002</v>
      </c>
      <c r="L399" s="357">
        <v>19779</v>
      </c>
      <c r="M399" s="357">
        <v>19779</v>
      </c>
      <c r="N399" s="357">
        <v>22142</v>
      </c>
      <c r="O399" s="357">
        <v>19779</v>
      </c>
      <c r="P399" s="357">
        <v>23797</v>
      </c>
      <c r="Q399" s="357">
        <v>23797</v>
      </c>
      <c r="R399" s="357">
        <v>23796.8128</v>
      </c>
      <c r="S399" s="357">
        <v>23797</v>
      </c>
      <c r="T399" s="357">
        <v>23797</v>
      </c>
      <c r="U399" s="357">
        <v>23797</v>
      </c>
      <c r="X399" s="357"/>
      <c r="Y399" s="499"/>
    </row>
    <row r="400" spans="1:25">
      <c r="A400" s="349">
        <v>371</v>
      </c>
      <c r="B400" s="353" t="s">
        <v>343</v>
      </c>
      <c r="C400" s="349" t="s">
        <v>365</v>
      </c>
      <c r="D400" s="357">
        <v>23797</v>
      </c>
      <c r="E400" s="357">
        <v>23797</v>
      </c>
      <c r="F400" s="357">
        <v>23797</v>
      </c>
      <c r="G400" s="357">
        <v>23797</v>
      </c>
      <c r="H400" s="357">
        <v>23797</v>
      </c>
      <c r="I400" s="357">
        <v>23797</v>
      </c>
      <c r="J400" s="357">
        <v>23796.8128</v>
      </c>
      <c r="K400" s="357">
        <v>23796.8128</v>
      </c>
      <c r="L400" s="357">
        <v>23797</v>
      </c>
      <c r="M400" s="357">
        <v>23797</v>
      </c>
      <c r="N400" s="357">
        <v>27195</v>
      </c>
      <c r="O400" s="357">
        <v>23797</v>
      </c>
      <c r="P400" s="357">
        <v>23797</v>
      </c>
      <c r="Q400" s="357">
        <v>23797</v>
      </c>
      <c r="R400" s="357">
        <v>23796.8128</v>
      </c>
      <c r="S400" s="357">
        <v>23797</v>
      </c>
      <c r="T400" s="357">
        <v>23797</v>
      </c>
      <c r="U400" s="357">
        <v>23797</v>
      </c>
      <c r="X400" s="357"/>
      <c r="Y400" s="499"/>
    </row>
    <row r="401" spans="1:25" ht="18">
      <c r="A401" s="349">
        <v>372</v>
      </c>
      <c r="B401" s="353" t="s">
        <v>344</v>
      </c>
      <c r="C401" s="349" t="s">
        <v>366</v>
      </c>
      <c r="D401" s="357">
        <v>34504</v>
      </c>
      <c r="E401" s="357">
        <v>28663</v>
      </c>
      <c r="F401" s="357">
        <v>31156</v>
      </c>
      <c r="G401" s="357">
        <v>27517</v>
      </c>
      <c r="H401" s="357">
        <v>27217</v>
      </c>
      <c r="I401" s="357">
        <v>28663</v>
      </c>
      <c r="J401" s="357">
        <v>31155.727999999999</v>
      </c>
      <c r="K401" s="357">
        <v>34504.067199999998</v>
      </c>
      <c r="L401" s="357">
        <v>29909</v>
      </c>
      <c r="M401" s="357">
        <v>34504</v>
      </c>
      <c r="N401" s="357">
        <v>26918</v>
      </c>
      <c r="O401" s="357">
        <v>40423</v>
      </c>
      <c r="P401" s="357">
        <v>44864</v>
      </c>
      <c r="Q401" s="357">
        <v>44864</v>
      </c>
      <c r="R401" s="357">
        <v>44863.811199999996</v>
      </c>
      <c r="S401" s="357">
        <v>44864</v>
      </c>
      <c r="T401" s="357">
        <v>44864</v>
      </c>
      <c r="U401" s="357">
        <v>44864</v>
      </c>
      <c r="X401" s="357"/>
      <c r="Y401" s="499"/>
    </row>
    <row r="402" spans="1:25">
      <c r="A402" s="349">
        <v>373</v>
      </c>
      <c r="B402" s="353" t="s">
        <v>344</v>
      </c>
      <c r="C402" s="349" t="s">
        <v>365</v>
      </c>
      <c r="D402" s="357">
        <v>86027</v>
      </c>
      <c r="E402" s="357">
        <v>86027</v>
      </c>
      <c r="F402" s="357">
        <v>86027</v>
      </c>
      <c r="G402" s="357">
        <v>86027</v>
      </c>
      <c r="H402" s="357">
        <v>86027</v>
      </c>
      <c r="I402" s="357">
        <v>86027</v>
      </c>
      <c r="J402" s="357">
        <v>86027.401599999997</v>
      </c>
      <c r="K402" s="357">
        <v>86027.401599999997</v>
      </c>
      <c r="L402" s="357">
        <v>86027</v>
      </c>
      <c r="M402" s="357">
        <v>86027</v>
      </c>
      <c r="N402" s="357">
        <v>98317</v>
      </c>
      <c r="O402" s="357">
        <v>86027</v>
      </c>
      <c r="P402" s="357">
        <v>86027</v>
      </c>
      <c r="Q402" s="357">
        <v>86027</v>
      </c>
      <c r="R402" s="357">
        <v>86027.401599999997</v>
      </c>
      <c r="S402" s="357">
        <v>86027</v>
      </c>
      <c r="T402" s="357">
        <v>86027</v>
      </c>
      <c r="U402" s="357">
        <v>86027</v>
      </c>
      <c r="X402" s="357"/>
      <c r="Y402" s="499"/>
    </row>
    <row r="403" spans="1:25" ht="18">
      <c r="A403" s="349">
        <v>374</v>
      </c>
      <c r="B403" s="353" t="s">
        <v>345</v>
      </c>
      <c r="C403" s="349" t="s">
        <v>366</v>
      </c>
      <c r="D403" s="357">
        <v>4573</v>
      </c>
      <c r="E403" s="357">
        <v>4399</v>
      </c>
      <c r="F403" s="357">
        <v>4399</v>
      </c>
      <c r="G403" s="357">
        <v>3519</v>
      </c>
      <c r="H403" s="357">
        <v>3481</v>
      </c>
      <c r="I403" s="357">
        <v>4131</v>
      </c>
      <c r="J403" s="357">
        <v>4398.5200000000004</v>
      </c>
      <c r="K403" s="357">
        <v>4573.3680000000004</v>
      </c>
      <c r="L403" s="357">
        <v>3825</v>
      </c>
      <c r="M403" s="357">
        <v>4573</v>
      </c>
      <c r="N403" s="357">
        <v>3442</v>
      </c>
      <c r="O403" s="357">
        <v>4573</v>
      </c>
      <c r="P403" s="357">
        <v>5492</v>
      </c>
      <c r="Q403" s="357">
        <v>5492</v>
      </c>
      <c r="R403" s="357">
        <v>5492.4128000000001</v>
      </c>
      <c r="S403" s="357">
        <v>5492</v>
      </c>
      <c r="T403" s="357">
        <v>5492</v>
      </c>
      <c r="U403" s="357">
        <v>5492</v>
      </c>
      <c r="X403" s="357"/>
      <c r="Y403" s="499"/>
    </row>
    <row r="404" spans="1:25">
      <c r="A404" s="349">
        <v>375</v>
      </c>
      <c r="B404" s="353" t="s">
        <v>345</v>
      </c>
      <c r="C404" s="349" t="s">
        <v>365</v>
      </c>
      <c r="D404" s="357">
        <v>5492</v>
      </c>
      <c r="E404" s="357">
        <v>5492</v>
      </c>
      <c r="F404" s="357">
        <v>5492</v>
      </c>
      <c r="G404" s="357">
        <v>5492</v>
      </c>
      <c r="H404" s="357">
        <v>5492</v>
      </c>
      <c r="I404" s="357">
        <v>5492</v>
      </c>
      <c r="J404" s="357">
        <v>5492.4128000000001</v>
      </c>
      <c r="K404" s="357">
        <v>5492.4128000000001</v>
      </c>
      <c r="L404" s="357">
        <v>5492</v>
      </c>
      <c r="M404" s="357">
        <v>5492</v>
      </c>
      <c r="N404" s="357">
        <v>6277</v>
      </c>
      <c r="O404" s="357">
        <v>5492</v>
      </c>
      <c r="P404" s="357">
        <v>5492</v>
      </c>
      <c r="Q404" s="357">
        <v>5492</v>
      </c>
      <c r="R404" s="357">
        <v>5492.4128000000001</v>
      </c>
      <c r="S404" s="357">
        <v>5492</v>
      </c>
      <c r="T404" s="357">
        <v>5492</v>
      </c>
      <c r="U404" s="357">
        <v>5492</v>
      </c>
      <c r="X404" s="357"/>
      <c r="Y404" s="499"/>
    </row>
    <row r="405" spans="1:25" ht="18">
      <c r="A405" s="349">
        <v>376</v>
      </c>
      <c r="B405" s="353" t="s">
        <v>346</v>
      </c>
      <c r="C405" s="349" t="s">
        <v>366</v>
      </c>
      <c r="D405" s="357">
        <v>4707</v>
      </c>
      <c r="E405" s="357">
        <v>4510</v>
      </c>
      <c r="F405" s="357">
        <v>4510</v>
      </c>
      <c r="G405" s="357">
        <v>3608</v>
      </c>
      <c r="H405" s="357">
        <v>3569</v>
      </c>
      <c r="I405" s="357">
        <v>4236</v>
      </c>
      <c r="J405" s="357">
        <v>4509.9856</v>
      </c>
      <c r="K405" s="357">
        <v>4706.6895999999997</v>
      </c>
      <c r="L405" s="357">
        <v>3922</v>
      </c>
      <c r="M405" s="357">
        <v>4707</v>
      </c>
      <c r="N405" s="357">
        <v>3530</v>
      </c>
      <c r="O405" s="357">
        <v>5557</v>
      </c>
      <c r="P405" s="357">
        <v>5620</v>
      </c>
      <c r="Q405" s="357">
        <v>5620</v>
      </c>
      <c r="R405" s="357">
        <v>5620.2704000000003</v>
      </c>
      <c r="S405" s="357">
        <v>5620</v>
      </c>
      <c r="T405" s="357">
        <v>5620</v>
      </c>
      <c r="U405" s="357">
        <v>5620</v>
      </c>
      <c r="X405" s="357"/>
      <c r="Y405" s="499"/>
    </row>
    <row r="406" spans="1:25">
      <c r="A406" s="349">
        <v>377</v>
      </c>
      <c r="B406" s="353" t="s">
        <v>346</v>
      </c>
      <c r="C406" s="349" t="s">
        <v>365</v>
      </c>
      <c r="D406" s="357">
        <v>5620</v>
      </c>
      <c r="E406" s="357">
        <v>5620</v>
      </c>
      <c r="F406" s="357">
        <v>5620</v>
      </c>
      <c r="G406" s="357">
        <v>5620</v>
      </c>
      <c r="H406" s="357">
        <v>5620</v>
      </c>
      <c r="I406" s="357">
        <v>5620</v>
      </c>
      <c r="J406" s="357">
        <v>5620.2704000000003</v>
      </c>
      <c r="K406" s="357">
        <v>5620.2704000000003</v>
      </c>
      <c r="L406" s="357">
        <v>5620</v>
      </c>
      <c r="M406" s="357">
        <v>5620</v>
      </c>
      <c r="N406" s="357">
        <v>6423</v>
      </c>
      <c r="O406" s="357">
        <v>5620</v>
      </c>
      <c r="P406" s="357">
        <v>5620</v>
      </c>
      <c r="Q406" s="357">
        <v>5620</v>
      </c>
      <c r="R406" s="357">
        <v>5620.2704000000003</v>
      </c>
      <c r="S406" s="357">
        <v>5620</v>
      </c>
      <c r="T406" s="357">
        <v>5620</v>
      </c>
      <c r="U406" s="357">
        <v>5620</v>
      </c>
      <c r="X406" s="357"/>
      <c r="Y406" s="499"/>
    </row>
    <row r="407" spans="1:25">
      <c r="A407" s="349">
        <v>378</v>
      </c>
      <c r="B407" s="353" t="s">
        <v>347</v>
      </c>
      <c r="C407" s="349" t="s">
        <v>365</v>
      </c>
      <c r="D407" s="357">
        <v>8869</v>
      </c>
      <c r="E407" s="357">
        <v>8869</v>
      </c>
      <c r="F407" s="357">
        <v>8869</v>
      </c>
      <c r="G407" s="357">
        <v>8869</v>
      </c>
      <c r="H407" s="357">
        <v>8869</v>
      </c>
      <c r="I407" s="357">
        <v>8869</v>
      </c>
      <c r="J407" s="357">
        <v>8869.1648000000005</v>
      </c>
      <c r="K407" s="357">
        <v>8869.1648000000005</v>
      </c>
      <c r="L407" s="357">
        <v>8869</v>
      </c>
      <c r="M407" s="357">
        <v>8869</v>
      </c>
      <c r="N407" s="357">
        <v>10137</v>
      </c>
      <c r="O407" s="357">
        <v>8869</v>
      </c>
      <c r="P407" s="357">
        <v>8869</v>
      </c>
      <c r="Q407" s="357">
        <v>8869</v>
      </c>
      <c r="R407" s="357">
        <v>8869.1648000000005</v>
      </c>
      <c r="S407" s="357">
        <v>8869</v>
      </c>
      <c r="T407" s="357">
        <v>8869</v>
      </c>
      <c r="U407" s="357">
        <v>8869</v>
      </c>
      <c r="X407" s="357"/>
      <c r="Y407" s="499"/>
    </row>
    <row r="408" spans="1:25">
      <c r="A408" s="349">
        <v>379</v>
      </c>
      <c r="B408" s="353" t="s">
        <v>348</v>
      </c>
      <c r="C408" s="349" t="s">
        <v>365</v>
      </c>
      <c r="D408" s="357">
        <v>12331</v>
      </c>
      <c r="E408" s="357">
        <v>12331</v>
      </c>
      <c r="F408" s="357">
        <v>12331</v>
      </c>
      <c r="G408" s="357">
        <v>12331</v>
      </c>
      <c r="H408" s="357">
        <v>12331</v>
      </c>
      <c r="I408" s="357">
        <v>12331</v>
      </c>
      <c r="J408" s="357">
        <v>12331.155199999999</v>
      </c>
      <c r="K408" s="357">
        <v>12331.155199999999</v>
      </c>
      <c r="L408" s="357">
        <v>12331</v>
      </c>
      <c r="M408" s="357">
        <v>12331</v>
      </c>
      <c r="N408" s="357">
        <v>14093</v>
      </c>
      <c r="O408" s="357">
        <v>12331</v>
      </c>
      <c r="P408" s="357">
        <v>12331</v>
      </c>
      <c r="Q408" s="357">
        <v>12331</v>
      </c>
      <c r="R408" s="357">
        <v>12331.155199999999</v>
      </c>
      <c r="S408" s="357">
        <v>12331</v>
      </c>
      <c r="T408" s="357">
        <v>12331</v>
      </c>
      <c r="U408" s="357">
        <v>12331</v>
      </c>
      <c r="X408" s="357"/>
      <c r="Y408" s="499"/>
    </row>
    <row r="409" spans="1:25" ht="18">
      <c r="A409" s="349">
        <v>380</v>
      </c>
      <c r="B409" s="353" t="s">
        <v>349</v>
      </c>
      <c r="C409" s="349" t="s">
        <v>366</v>
      </c>
      <c r="D409" s="357">
        <v>21229</v>
      </c>
      <c r="E409" s="357">
        <v>19902</v>
      </c>
      <c r="F409" s="357">
        <v>20345</v>
      </c>
      <c r="G409" s="357">
        <v>16276</v>
      </c>
      <c r="H409" s="357">
        <v>16099</v>
      </c>
      <c r="I409" s="357">
        <v>19107</v>
      </c>
      <c r="J409" s="357">
        <v>20344.657599999999</v>
      </c>
      <c r="K409" s="357">
        <v>21228.732799999998</v>
      </c>
      <c r="L409" s="357">
        <v>17691</v>
      </c>
      <c r="M409" s="357">
        <v>21229</v>
      </c>
      <c r="N409" s="357">
        <v>15922</v>
      </c>
      <c r="O409" s="357">
        <v>23481</v>
      </c>
      <c r="P409" s="357">
        <v>26536</v>
      </c>
      <c r="Q409" s="357">
        <v>26536</v>
      </c>
      <c r="R409" s="357">
        <v>26536.4624</v>
      </c>
      <c r="S409" s="357">
        <v>26536</v>
      </c>
      <c r="T409" s="357">
        <v>26536</v>
      </c>
      <c r="U409" s="357">
        <v>26536</v>
      </c>
      <c r="X409" s="357"/>
      <c r="Y409" s="499"/>
    </row>
    <row r="410" spans="1:25">
      <c r="A410" s="349">
        <v>381</v>
      </c>
      <c r="B410" s="353" t="s">
        <v>349</v>
      </c>
      <c r="C410" s="349" t="s">
        <v>365</v>
      </c>
      <c r="D410" s="357">
        <v>35782</v>
      </c>
      <c r="E410" s="357">
        <v>35782</v>
      </c>
      <c r="F410" s="357">
        <v>35782</v>
      </c>
      <c r="G410" s="357">
        <v>35782</v>
      </c>
      <c r="H410" s="357">
        <v>35782</v>
      </c>
      <c r="I410" s="357">
        <v>35782</v>
      </c>
      <c r="J410" s="357">
        <v>35781.5504</v>
      </c>
      <c r="K410" s="357">
        <v>35781.5504</v>
      </c>
      <c r="L410" s="357">
        <v>35782</v>
      </c>
      <c r="M410" s="357">
        <v>35782</v>
      </c>
      <c r="N410" s="357">
        <v>40893</v>
      </c>
      <c r="O410" s="357">
        <v>35782</v>
      </c>
      <c r="P410" s="357">
        <v>35782</v>
      </c>
      <c r="Q410" s="357">
        <v>35782</v>
      </c>
      <c r="R410" s="357">
        <v>35781.5504</v>
      </c>
      <c r="S410" s="357">
        <v>35782</v>
      </c>
      <c r="T410" s="357">
        <v>35782</v>
      </c>
      <c r="U410" s="357">
        <v>35782</v>
      </c>
      <c r="X410" s="357"/>
      <c r="Y410" s="499"/>
    </row>
    <row r="411" spans="1:25" ht="18">
      <c r="A411" s="349">
        <v>382</v>
      </c>
      <c r="B411" s="353" t="s">
        <v>350</v>
      </c>
      <c r="C411" s="349" t="s">
        <v>366</v>
      </c>
      <c r="D411" s="357">
        <v>35680</v>
      </c>
      <c r="E411" s="357">
        <v>34193</v>
      </c>
      <c r="F411" s="357">
        <v>34193</v>
      </c>
      <c r="G411" s="357">
        <v>27354</v>
      </c>
      <c r="H411" s="357">
        <v>27057</v>
      </c>
      <c r="I411" s="357">
        <v>32112</v>
      </c>
      <c r="J411" s="357">
        <v>34192.619200000001</v>
      </c>
      <c r="K411" s="357">
        <v>35679.919999999998</v>
      </c>
      <c r="L411" s="357">
        <v>29733</v>
      </c>
      <c r="M411" s="357">
        <v>35680</v>
      </c>
      <c r="N411" s="357">
        <v>26759</v>
      </c>
      <c r="O411" s="357">
        <v>42951</v>
      </c>
      <c r="P411" s="357">
        <v>44599</v>
      </c>
      <c r="Q411" s="357">
        <v>44599</v>
      </c>
      <c r="R411" s="357">
        <v>44599.353600000002</v>
      </c>
      <c r="S411" s="357">
        <v>44599</v>
      </c>
      <c r="T411" s="357">
        <v>44599</v>
      </c>
      <c r="U411" s="357">
        <v>44599</v>
      </c>
      <c r="X411" s="357"/>
      <c r="Y411" s="499"/>
    </row>
    <row r="412" spans="1:25">
      <c r="A412" s="349">
        <v>383</v>
      </c>
      <c r="B412" s="353" t="s">
        <v>350</v>
      </c>
      <c r="C412" s="349" t="s">
        <v>365</v>
      </c>
      <c r="D412" s="357">
        <v>69009</v>
      </c>
      <c r="E412" s="357">
        <v>69009</v>
      </c>
      <c r="F412" s="357">
        <v>69009</v>
      </c>
      <c r="G412" s="357">
        <v>69009</v>
      </c>
      <c r="H412" s="357">
        <v>69009</v>
      </c>
      <c r="I412" s="357">
        <v>69009</v>
      </c>
      <c r="J412" s="357">
        <v>69009.227199999994</v>
      </c>
      <c r="K412" s="357">
        <v>69009.227199999994</v>
      </c>
      <c r="L412" s="357">
        <v>69009</v>
      </c>
      <c r="M412" s="357">
        <v>69009</v>
      </c>
      <c r="N412" s="357">
        <v>78868</v>
      </c>
      <c r="O412" s="357">
        <v>69009</v>
      </c>
      <c r="P412" s="357">
        <v>69009</v>
      </c>
      <c r="Q412" s="357">
        <v>69009</v>
      </c>
      <c r="R412" s="357">
        <v>69009.227199999994</v>
      </c>
      <c r="S412" s="357">
        <v>69009</v>
      </c>
      <c r="T412" s="357">
        <v>69009</v>
      </c>
      <c r="U412" s="357">
        <v>69009</v>
      </c>
      <c r="X412" s="357"/>
      <c r="Y412" s="499"/>
    </row>
    <row r="413" spans="1:25" ht="18">
      <c r="A413" s="349">
        <v>384</v>
      </c>
      <c r="B413" s="353" t="s">
        <v>351</v>
      </c>
      <c r="C413" s="349" t="s">
        <v>366</v>
      </c>
      <c r="D413" s="357">
        <v>86587</v>
      </c>
      <c r="E413" s="357">
        <v>33450</v>
      </c>
      <c r="F413" s="357">
        <v>36359</v>
      </c>
      <c r="G413" s="357">
        <v>33450</v>
      </c>
      <c r="H413" s="357">
        <v>33450</v>
      </c>
      <c r="I413" s="357">
        <v>33450</v>
      </c>
      <c r="J413" s="357">
        <v>36358.548799999997</v>
      </c>
      <c r="K413" s="357">
        <v>86586.915200000003</v>
      </c>
      <c r="L413" s="357">
        <v>36359</v>
      </c>
      <c r="M413" s="357">
        <v>86587</v>
      </c>
      <c r="N413" s="357">
        <v>73463</v>
      </c>
      <c r="O413" s="357">
        <v>86587</v>
      </c>
      <c r="P413" s="357">
        <v>86587</v>
      </c>
      <c r="Q413" s="357">
        <v>86587</v>
      </c>
      <c r="R413" s="357">
        <v>86586.915200000003</v>
      </c>
      <c r="S413" s="357">
        <v>86587</v>
      </c>
      <c r="T413" s="357">
        <v>86587</v>
      </c>
      <c r="U413" s="357">
        <v>86587</v>
      </c>
      <c r="X413" s="357"/>
      <c r="Y413" s="499"/>
    </row>
    <row r="414" spans="1:25">
      <c r="A414" s="349">
        <v>385</v>
      </c>
      <c r="B414" s="353" t="s">
        <v>351</v>
      </c>
      <c r="C414" s="349" t="s">
        <v>365</v>
      </c>
      <c r="D414" s="357">
        <v>90989</v>
      </c>
      <c r="E414" s="357">
        <v>90989</v>
      </c>
      <c r="F414" s="357">
        <v>90989</v>
      </c>
      <c r="G414" s="357">
        <v>90989</v>
      </c>
      <c r="H414" s="357">
        <v>90989</v>
      </c>
      <c r="I414" s="357">
        <v>90989</v>
      </c>
      <c r="J414" s="357">
        <v>90988.713600000003</v>
      </c>
      <c r="K414" s="357">
        <v>90988.713600000003</v>
      </c>
      <c r="L414" s="357">
        <v>90989</v>
      </c>
      <c r="M414" s="357">
        <v>90989</v>
      </c>
      <c r="N414" s="357">
        <v>103988</v>
      </c>
      <c r="O414" s="357">
        <v>90989</v>
      </c>
      <c r="P414" s="357">
        <v>90989</v>
      </c>
      <c r="Q414" s="357">
        <v>90989</v>
      </c>
      <c r="R414" s="357">
        <v>90988.713600000003</v>
      </c>
      <c r="S414" s="357">
        <v>90989</v>
      </c>
      <c r="T414" s="357">
        <v>90989</v>
      </c>
      <c r="U414" s="357">
        <v>90989</v>
      </c>
      <c r="X414" s="357"/>
      <c r="Y414" s="499"/>
    </row>
    <row r="415" spans="1:25" ht="18">
      <c r="A415" s="349">
        <v>386</v>
      </c>
      <c r="B415" s="353" t="s">
        <v>352</v>
      </c>
      <c r="C415" s="349" t="s">
        <v>366</v>
      </c>
      <c r="D415" s="357">
        <v>92713</v>
      </c>
      <c r="E415" s="357">
        <v>42210</v>
      </c>
      <c r="F415" s="357">
        <v>45880</v>
      </c>
      <c r="G415" s="357">
        <v>42210</v>
      </c>
      <c r="H415" s="357">
        <v>42210</v>
      </c>
      <c r="I415" s="357">
        <v>42210</v>
      </c>
      <c r="J415" s="357">
        <v>45880.1152</v>
      </c>
      <c r="K415" s="357">
        <v>92713.152000000002</v>
      </c>
      <c r="L415" s="357">
        <v>45880</v>
      </c>
      <c r="M415" s="357">
        <v>92713</v>
      </c>
      <c r="N415" s="357">
        <v>75410</v>
      </c>
      <c r="O415" s="357">
        <v>92713</v>
      </c>
      <c r="P415" s="357">
        <v>92713</v>
      </c>
      <c r="Q415" s="357">
        <v>92713</v>
      </c>
      <c r="R415" s="357">
        <v>92713.152000000002</v>
      </c>
      <c r="S415" s="357">
        <v>92713</v>
      </c>
      <c r="T415" s="357">
        <v>92713</v>
      </c>
      <c r="U415" s="357">
        <v>92713</v>
      </c>
      <c r="X415" s="357"/>
      <c r="Y415" s="499"/>
    </row>
    <row r="416" spans="1:25">
      <c r="A416" s="349">
        <v>387</v>
      </c>
      <c r="B416" s="353" t="s">
        <v>352</v>
      </c>
      <c r="C416" s="349" t="s">
        <v>365</v>
      </c>
      <c r="D416" s="357">
        <v>99296</v>
      </c>
      <c r="E416" s="357">
        <v>99296</v>
      </c>
      <c r="F416" s="357">
        <v>99296</v>
      </c>
      <c r="G416" s="357">
        <v>99296</v>
      </c>
      <c r="H416" s="357">
        <v>99296</v>
      </c>
      <c r="I416" s="357">
        <v>99296</v>
      </c>
      <c r="J416" s="357">
        <v>99296.179199999999</v>
      </c>
      <c r="K416" s="357">
        <v>99296.179199999999</v>
      </c>
      <c r="L416" s="357">
        <v>99296</v>
      </c>
      <c r="M416" s="357">
        <v>99296</v>
      </c>
      <c r="N416" s="357">
        <v>113481</v>
      </c>
      <c r="O416" s="357">
        <v>99296</v>
      </c>
      <c r="P416" s="357">
        <v>99296</v>
      </c>
      <c r="Q416" s="357">
        <v>99296</v>
      </c>
      <c r="R416" s="357">
        <v>99296.179199999999</v>
      </c>
      <c r="S416" s="357">
        <v>99296</v>
      </c>
      <c r="T416" s="357">
        <v>99296</v>
      </c>
      <c r="U416" s="357">
        <v>99296</v>
      </c>
      <c r="X416" s="357"/>
      <c r="Y416" s="499"/>
    </row>
    <row r="417" spans="1:25" ht="18">
      <c r="A417" s="349">
        <v>388</v>
      </c>
      <c r="B417" s="353" t="s">
        <v>353</v>
      </c>
      <c r="C417" s="349" t="s">
        <v>366</v>
      </c>
      <c r="D417" s="357">
        <v>114655</v>
      </c>
      <c r="E417" s="357">
        <v>114655</v>
      </c>
      <c r="F417" s="357">
        <v>114655</v>
      </c>
      <c r="G417" s="357">
        <v>114655</v>
      </c>
      <c r="H417" s="357">
        <v>114655</v>
      </c>
      <c r="I417" s="357">
        <v>114655</v>
      </c>
      <c r="J417" s="357">
        <v>114655.4832</v>
      </c>
      <c r="K417" s="357">
        <v>114655.4832</v>
      </c>
      <c r="L417" s="357">
        <v>114655</v>
      </c>
      <c r="M417" s="357">
        <v>114655</v>
      </c>
      <c r="N417" s="357">
        <v>116818</v>
      </c>
      <c r="O417" s="357">
        <v>114655</v>
      </c>
      <c r="P417" s="357">
        <v>114655</v>
      </c>
      <c r="Q417" s="357">
        <v>114655</v>
      </c>
      <c r="R417" s="357">
        <v>114655.4832</v>
      </c>
      <c r="S417" s="357">
        <v>114655</v>
      </c>
      <c r="T417" s="357">
        <v>114655</v>
      </c>
      <c r="U417" s="357">
        <v>114655</v>
      </c>
      <c r="X417" s="357"/>
      <c r="Y417" s="499"/>
    </row>
    <row r="418" spans="1:25">
      <c r="A418" s="349">
        <v>389</v>
      </c>
      <c r="B418" s="353" t="s">
        <v>353</v>
      </c>
      <c r="C418" s="349" t="s">
        <v>365</v>
      </c>
      <c r="D418" s="357">
        <v>114655</v>
      </c>
      <c r="E418" s="357">
        <v>114655</v>
      </c>
      <c r="F418" s="357">
        <v>114655</v>
      </c>
      <c r="G418" s="357">
        <v>114655</v>
      </c>
      <c r="H418" s="357">
        <v>114655</v>
      </c>
      <c r="I418" s="357">
        <v>114655</v>
      </c>
      <c r="J418" s="357">
        <v>114655.4832</v>
      </c>
      <c r="K418" s="357">
        <v>114655.4832</v>
      </c>
      <c r="L418" s="357">
        <v>114655</v>
      </c>
      <c r="M418" s="357">
        <v>114655</v>
      </c>
      <c r="N418" s="357">
        <v>131034</v>
      </c>
      <c r="O418" s="357">
        <v>114655</v>
      </c>
      <c r="P418" s="357">
        <v>114655</v>
      </c>
      <c r="Q418" s="357">
        <v>114655</v>
      </c>
      <c r="R418" s="357">
        <v>114655.4832</v>
      </c>
      <c r="S418" s="357">
        <v>114655</v>
      </c>
      <c r="T418" s="357">
        <v>114655</v>
      </c>
      <c r="U418" s="357">
        <v>114655</v>
      </c>
      <c r="X418" s="357"/>
      <c r="Y418" s="499"/>
    </row>
    <row r="419" spans="1:25" ht="18">
      <c r="A419" s="349">
        <v>390</v>
      </c>
      <c r="B419" s="353" t="s">
        <v>354</v>
      </c>
      <c r="C419" s="349" t="s">
        <v>366</v>
      </c>
      <c r="D419" s="357">
        <v>88696</v>
      </c>
      <c r="E419" s="357">
        <v>46188</v>
      </c>
      <c r="F419" s="357">
        <v>50204</v>
      </c>
      <c r="G419" s="357">
        <v>46188</v>
      </c>
      <c r="H419" s="357">
        <v>46188</v>
      </c>
      <c r="I419" s="357">
        <v>46188</v>
      </c>
      <c r="J419" s="357">
        <v>50204.324800000002</v>
      </c>
      <c r="K419" s="357">
        <v>88696.019199999995</v>
      </c>
      <c r="L419" s="357">
        <v>50204</v>
      </c>
      <c r="M419" s="357">
        <v>88696</v>
      </c>
      <c r="N419" s="357">
        <v>66522</v>
      </c>
      <c r="O419" s="357">
        <v>97479</v>
      </c>
      <c r="P419" s="357">
        <v>97479</v>
      </c>
      <c r="Q419" s="357">
        <v>97479</v>
      </c>
      <c r="R419" s="357">
        <v>97478.852799999993</v>
      </c>
      <c r="S419" s="357">
        <v>97479</v>
      </c>
      <c r="T419" s="357">
        <v>97479</v>
      </c>
      <c r="U419" s="357">
        <v>97479</v>
      </c>
      <c r="X419" s="357"/>
      <c r="Y419" s="499"/>
    </row>
    <row r="420" spans="1:25">
      <c r="A420" s="349">
        <v>391</v>
      </c>
      <c r="B420" s="353" t="s">
        <v>354</v>
      </c>
      <c r="C420" s="349" t="s">
        <v>365</v>
      </c>
      <c r="D420" s="357">
        <v>97479</v>
      </c>
      <c r="E420" s="357">
        <v>97479</v>
      </c>
      <c r="F420" s="357">
        <v>97479</v>
      </c>
      <c r="G420" s="357">
        <v>97479</v>
      </c>
      <c r="H420" s="357">
        <v>97479</v>
      </c>
      <c r="I420" s="357">
        <v>97479</v>
      </c>
      <c r="J420" s="357">
        <v>97478.852799999993</v>
      </c>
      <c r="K420" s="357">
        <v>97478.852799999993</v>
      </c>
      <c r="L420" s="357">
        <v>97479</v>
      </c>
      <c r="M420" s="357">
        <v>97479</v>
      </c>
      <c r="N420" s="357">
        <v>111404</v>
      </c>
      <c r="O420" s="357">
        <v>97479</v>
      </c>
      <c r="P420" s="357">
        <v>97479</v>
      </c>
      <c r="Q420" s="357">
        <v>97479</v>
      </c>
      <c r="R420" s="357">
        <v>97478.852799999993</v>
      </c>
      <c r="S420" s="357">
        <v>97479</v>
      </c>
      <c r="T420" s="357">
        <v>97479</v>
      </c>
      <c r="U420" s="357">
        <v>97479</v>
      </c>
      <c r="X420" s="357"/>
      <c r="Y420" s="499"/>
    </row>
    <row r="421" spans="1:25" ht="18">
      <c r="A421" s="349">
        <v>392</v>
      </c>
      <c r="B421" s="353" t="s">
        <v>355</v>
      </c>
      <c r="C421" s="349" t="s">
        <v>366</v>
      </c>
      <c r="D421" s="357">
        <v>97132</v>
      </c>
      <c r="E421" s="357">
        <v>55546</v>
      </c>
      <c r="F421" s="357">
        <v>60376</v>
      </c>
      <c r="G421" s="357">
        <v>55546</v>
      </c>
      <c r="H421" s="357">
        <v>55546</v>
      </c>
      <c r="I421" s="357">
        <v>55546</v>
      </c>
      <c r="J421" s="357">
        <v>60376.107199999999</v>
      </c>
      <c r="K421" s="357">
        <v>97132.435200000007</v>
      </c>
      <c r="L421" s="357">
        <v>60376</v>
      </c>
      <c r="M421" s="357">
        <v>97132</v>
      </c>
      <c r="N421" s="357">
        <v>76844</v>
      </c>
      <c r="O421" s="357">
        <v>97132</v>
      </c>
      <c r="P421" s="357">
        <v>97132</v>
      </c>
      <c r="Q421" s="357">
        <v>97132</v>
      </c>
      <c r="R421" s="357">
        <v>97132.435200000007</v>
      </c>
      <c r="S421" s="357">
        <v>97132</v>
      </c>
      <c r="T421" s="357">
        <v>97132</v>
      </c>
      <c r="U421" s="357">
        <v>97132</v>
      </c>
      <c r="X421" s="357"/>
      <c r="Y421" s="499"/>
    </row>
    <row r="422" spans="1:25">
      <c r="A422" s="349">
        <v>393</v>
      </c>
      <c r="B422" s="353" t="s">
        <v>355</v>
      </c>
      <c r="C422" s="349" t="s">
        <v>365</v>
      </c>
      <c r="D422" s="357">
        <v>97132</v>
      </c>
      <c r="E422" s="357">
        <v>97132</v>
      </c>
      <c r="F422" s="357">
        <v>97132</v>
      </c>
      <c r="G422" s="357">
        <v>97132</v>
      </c>
      <c r="H422" s="357">
        <v>97132</v>
      </c>
      <c r="I422" s="357">
        <v>97132</v>
      </c>
      <c r="J422" s="357">
        <v>97132.435200000007</v>
      </c>
      <c r="K422" s="357">
        <v>97132.435200000007</v>
      </c>
      <c r="L422" s="357">
        <v>97132</v>
      </c>
      <c r="M422" s="357">
        <v>97132</v>
      </c>
      <c r="N422" s="357">
        <v>111009</v>
      </c>
      <c r="O422" s="357">
        <v>97132</v>
      </c>
      <c r="P422" s="357">
        <v>97132</v>
      </c>
      <c r="Q422" s="357">
        <v>97132</v>
      </c>
      <c r="R422" s="357">
        <v>97132.435200000007</v>
      </c>
      <c r="S422" s="357">
        <v>97132</v>
      </c>
      <c r="T422" s="357">
        <v>97132</v>
      </c>
      <c r="U422" s="357">
        <v>97132</v>
      </c>
      <c r="X422" s="357"/>
      <c r="Y422" s="499"/>
    </row>
    <row r="423" spans="1:25" ht="18">
      <c r="A423" s="349">
        <v>394</v>
      </c>
      <c r="B423" s="353" t="s">
        <v>356</v>
      </c>
      <c r="C423" s="349" t="s">
        <v>366</v>
      </c>
      <c r="D423" s="357">
        <v>95804</v>
      </c>
      <c r="E423" s="357">
        <v>37033</v>
      </c>
      <c r="F423" s="357">
        <v>40253</v>
      </c>
      <c r="G423" s="357">
        <v>37033</v>
      </c>
      <c r="H423" s="357">
        <v>37033</v>
      </c>
      <c r="I423" s="357">
        <v>37033</v>
      </c>
      <c r="J423" s="357">
        <v>40253.288</v>
      </c>
      <c r="K423" s="357">
        <v>95803.590400000001</v>
      </c>
      <c r="L423" s="357">
        <v>40253</v>
      </c>
      <c r="M423" s="357">
        <v>95804</v>
      </c>
      <c r="N423" s="357">
        <v>87259</v>
      </c>
      <c r="O423" s="357">
        <v>95804</v>
      </c>
      <c r="P423" s="357">
        <v>95804</v>
      </c>
      <c r="Q423" s="357">
        <v>95804</v>
      </c>
      <c r="R423" s="357">
        <v>95803.590400000001</v>
      </c>
      <c r="S423" s="357">
        <v>95804</v>
      </c>
      <c r="T423" s="357">
        <v>95804</v>
      </c>
      <c r="U423" s="357">
        <v>95804</v>
      </c>
      <c r="X423" s="357"/>
      <c r="Y423" s="499"/>
    </row>
    <row r="424" spans="1:25">
      <c r="A424" s="349">
        <v>395</v>
      </c>
      <c r="B424" s="353" t="s">
        <v>356</v>
      </c>
      <c r="C424" s="349" t="s">
        <v>365</v>
      </c>
      <c r="D424" s="357">
        <v>112449</v>
      </c>
      <c r="E424" s="357">
        <v>112449</v>
      </c>
      <c r="F424" s="357">
        <v>112449</v>
      </c>
      <c r="G424" s="357">
        <v>112449</v>
      </c>
      <c r="H424" s="357">
        <v>112449</v>
      </c>
      <c r="I424" s="357">
        <v>112449</v>
      </c>
      <c r="J424" s="357">
        <v>112449.12</v>
      </c>
      <c r="K424" s="357">
        <v>112449.12</v>
      </c>
      <c r="L424" s="357">
        <v>112449</v>
      </c>
      <c r="M424" s="357">
        <v>112449</v>
      </c>
      <c r="N424" s="357">
        <v>128513</v>
      </c>
      <c r="O424" s="357">
        <v>112449</v>
      </c>
      <c r="P424" s="357">
        <v>112449</v>
      </c>
      <c r="Q424" s="357">
        <v>112449</v>
      </c>
      <c r="R424" s="357">
        <v>112449.12</v>
      </c>
      <c r="S424" s="357">
        <v>112449</v>
      </c>
      <c r="T424" s="357">
        <v>112449</v>
      </c>
      <c r="U424" s="357">
        <v>112449</v>
      </c>
      <c r="X424" s="357"/>
      <c r="Y424" s="499"/>
    </row>
    <row r="425" spans="1:25" ht="18">
      <c r="A425" s="349">
        <v>396</v>
      </c>
      <c r="B425" s="353" t="s">
        <v>357</v>
      </c>
      <c r="C425" s="349" t="s">
        <v>366</v>
      </c>
      <c r="D425" s="357">
        <v>53131</v>
      </c>
      <c r="E425" s="357">
        <v>17518</v>
      </c>
      <c r="F425" s="357">
        <v>19041</v>
      </c>
      <c r="G425" s="357">
        <v>17518</v>
      </c>
      <c r="H425" s="357">
        <v>17518</v>
      </c>
      <c r="I425" s="357">
        <v>17518</v>
      </c>
      <c r="J425" s="357">
        <v>19040.947199999999</v>
      </c>
      <c r="K425" s="357">
        <v>53130.843200000003</v>
      </c>
      <c r="L425" s="357">
        <v>19041</v>
      </c>
      <c r="M425" s="357">
        <v>53131</v>
      </c>
      <c r="N425" s="357">
        <v>39849</v>
      </c>
      <c r="O425" s="357">
        <v>56803</v>
      </c>
      <c r="P425" s="357">
        <v>63857</v>
      </c>
      <c r="Q425" s="357">
        <v>63857</v>
      </c>
      <c r="R425" s="357">
        <v>63856.675199999998</v>
      </c>
      <c r="S425" s="357">
        <v>63857</v>
      </c>
      <c r="T425" s="357">
        <v>63857</v>
      </c>
      <c r="U425" s="357">
        <v>63857</v>
      </c>
      <c r="X425" s="357"/>
      <c r="Y425" s="499"/>
    </row>
    <row r="426" spans="1:25">
      <c r="A426" s="349">
        <v>397</v>
      </c>
      <c r="B426" s="353" t="s">
        <v>357</v>
      </c>
      <c r="C426" s="349" t="s">
        <v>365</v>
      </c>
      <c r="D426" s="357">
        <v>63857</v>
      </c>
      <c r="E426" s="357">
        <v>63857</v>
      </c>
      <c r="F426" s="357">
        <v>63857</v>
      </c>
      <c r="G426" s="357">
        <v>63857</v>
      </c>
      <c r="H426" s="357">
        <v>63857</v>
      </c>
      <c r="I426" s="357">
        <v>63857</v>
      </c>
      <c r="J426" s="357">
        <v>63856.675199999998</v>
      </c>
      <c r="K426" s="357">
        <v>63856.675199999998</v>
      </c>
      <c r="L426" s="357">
        <v>63857</v>
      </c>
      <c r="M426" s="357">
        <v>63857</v>
      </c>
      <c r="N426" s="357">
        <v>72979</v>
      </c>
      <c r="O426" s="357">
        <v>63857</v>
      </c>
      <c r="P426" s="357">
        <v>63857</v>
      </c>
      <c r="Q426" s="357">
        <v>63857</v>
      </c>
      <c r="R426" s="357">
        <v>63856.675199999998</v>
      </c>
      <c r="S426" s="357">
        <v>63857</v>
      </c>
      <c r="T426" s="357">
        <v>63857</v>
      </c>
      <c r="U426" s="357">
        <v>63857</v>
      </c>
      <c r="X426" s="357"/>
      <c r="Y426" s="499"/>
    </row>
    <row r="427" spans="1:25" ht="18">
      <c r="A427" s="349">
        <v>398</v>
      </c>
      <c r="B427" s="353" t="s">
        <v>358</v>
      </c>
      <c r="C427" s="349" t="s">
        <v>366</v>
      </c>
      <c r="D427" s="357">
        <v>3084</v>
      </c>
      <c r="E427" s="357">
        <v>2700</v>
      </c>
      <c r="F427" s="357">
        <v>2934</v>
      </c>
      <c r="G427" s="357">
        <v>2700</v>
      </c>
      <c r="H427" s="357">
        <v>2700</v>
      </c>
      <c r="I427" s="357">
        <v>2700</v>
      </c>
      <c r="J427" s="357">
        <v>2934.1680000000001</v>
      </c>
      <c r="K427" s="357">
        <v>3083.8816000000002</v>
      </c>
      <c r="L427" s="357">
        <v>2934</v>
      </c>
      <c r="M427" s="357">
        <v>3084</v>
      </c>
      <c r="N427" s="357">
        <v>4629</v>
      </c>
      <c r="O427" s="357">
        <v>3084</v>
      </c>
      <c r="P427" s="357">
        <v>3090</v>
      </c>
      <c r="Q427" s="357">
        <v>3090</v>
      </c>
      <c r="R427" s="357">
        <v>3090.4384</v>
      </c>
      <c r="S427" s="357">
        <v>3090</v>
      </c>
      <c r="T427" s="357">
        <v>3090</v>
      </c>
      <c r="U427" s="357">
        <v>3090</v>
      </c>
      <c r="X427" s="357"/>
      <c r="Y427" s="499"/>
    </row>
    <row r="428" spans="1:25">
      <c r="A428" s="349">
        <v>399</v>
      </c>
      <c r="B428" s="353" t="s">
        <v>358</v>
      </c>
      <c r="C428" s="349" t="s">
        <v>365</v>
      </c>
      <c r="D428" s="357">
        <v>13888</v>
      </c>
      <c r="E428" s="357">
        <v>13888</v>
      </c>
      <c r="F428" s="357">
        <v>13888</v>
      </c>
      <c r="G428" s="357">
        <v>13888</v>
      </c>
      <c r="H428" s="357">
        <v>13888</v>
      </c>
      <c r="I428" s="357">
        <v>13888</v>
      </c>
      <c r="J428" s="357">
        <v>13888.395199999999</v>
      </c>
      <c r="K428" s="357">
        <v>13888.395199999999</v>
      </c>
      <c r="L428" s="357">
        <v>13888</v>
      </c>
      <c r="M428" s="357">
        <v>13888</v>
      </c>
      <c r="N428" s="357">
        <v>15873</v>
      </c>
      <c r="O428" s="357">
        <v>13888</v>
      </c>
      <c r="P428" s="357">
        <v>13888</v>
      </c>
      <c r="Q428" s="357">
        <v>13888</v>
      </c>
      <c r="R428" s="357">
        <v>13888.395199999999</v>
      </c>
      <c r="S428" s="357">
        <v>13888</v>
      </c>
      <c r="T428" s="357">
        <v>13888</v>
      </c>
      <c r="U428" s="357">
        <v>13888</v>
      </c>
      <c r="X428" s="357"/>
      <c r="Y428" s="499"/>
    </row>
    <row r="429" spans="1:25">
      <c r="A429" s="349">
        <v>400</v>
      </c>
      <c r="B429" s="353" t="s">
        <v>359</v>
      </c>
      <c r="C429" s="349" t="s">
        <v>365</v>
      </c>
      <c r="D429" s="357">
        <v>4106</v>
      </c>
      <c r="E429" s="357">
        <v>4106</v>
      </c>
      <c r="F429" s="357">
        <v>4106</v>
      </c>
      <c r="G429" s="357">
        <v>4106</v>
      </c>
      <c r="H429" s="357">
        <v>4106</v>
      </c>
      <c r="I429" s="357">
        <v>4106</v>
      </c>
      <c r="J429" s="357">
        <v>4105.6495999999997</v>
      </c>
      <c r="K429" s="357">
        <v>4105.6495999999997</v>
      </c>
      <c r="L429" s="357">
        <v>4106</v>
      </c>
      <c r="M429" s="357">
        <v>4106</v>
      </c>
      <c r="N429" s="357">
        <v>4692</v>
      </c>
      <c r="O429" s="357">
        <v>4106</v>
      </c>
      <c r="P429" s="357">
        <v>4106</v>
      </c>
      <c r="Q429" s="357">
        <v>4106</v>
      </c>
      <c r="R429" s="357">
        <v>4105.6495999999997</v>
      </c>
      <c r="S429" s="357">
        <v>4106</v>
      </c>
      <c r="T429" s="357">
        <v>4106</v>
      </c>
      <c r="U429" s="357">
        <v>4106</v>
      </c>
      <c r="X429" s="357"/>
      <c r="Y429" s="499"/>
    </row>
    <row r="430" spans="1:25">
      <c r="A430" s="349">
        <v>401</v>
      </c>
      <c r="B430" s="353" t="s">
        <v>360</v>
      </c>
      <c r="C430" s="349" t="s">
        <v>365</v>
      </c>
      <c r="D430" s="357">
        <v>87133</v>
      </c>
      <c r="E430" s="357">
        <v>32397</v>
      </c>
      <c r="F430" s="357">
        <v>35214</v>
      </c>
      <c r="G430" s="357">
        <v>32397</v>
      </c>
      <c r="H430" s="357">
        <v>32397</v>
      </c>
      <c r="I430" s="357">
        <v>32397</v>
      </c>
      <c r="J430" s="357">
        <v>35214.387199999997</v>
      </c>
      <c r="K430" s="357">
        <v>82811.291200000007</v>
      </c>
      <c r="L430" s="357">
        <v>35214</v>
      </c>
      <c r="M430" s="357">
        <v>87133</v>
      </c>
      <c r="N430" s="357">
        <v>76642</v>
      </c>
      <c r="O430" s="357">
        <v>30904</v>
      </c>
      <c r="P430" s="357">
        <v>30904</v>
      </c>
      <c r="Q430" s="357">
        <v>30904</v>
      </c>
      <c r="R430" s="357">
        <v>30904.383999999998</v>
      </c>
      <c r="S430" s="357">
        <v>30904</v>
      </c>
      <c r="T430" s="357">
        <v>30904</v>
      </c>
      <c r="U430" s="357">
        <v>30904</v>
      </c>
      <c r="X430" s="357"/>
      <c r="Y430" s="499"/>
    </row>
    <row r="431" spans="1:25" ht="18">
      <c r="A431" s="349">
        <v>402</v>
      </c>
      <c r="B431" s="353" t="s">
        <v>361</v>
      </c>
      <c r="C431" s="349" t="s">
        <v>366</v>
      </c>
      <c r="D431" s="357">
        <v>72438</v>
      </c>
      <c r="E431" s="357">
        <v>32251</v>
      </c>
      <c r="F431" s="357">
        <v>35056</v>
      </c>
      <c r="G431" s="357">
        <v>32251</v>
      </c>
      <c r="H431" s="357">
        <v>32251</v>
      </c>
      <c r="I431" s="357">
        <v>32251</v>
      </c>
      <c r="J431" s="357">
        <v>35055.931199999999</v>
      </c>
      <c r="K431" s="357">
        <v>72438.433600000004</v>
      </c>
      <c r="L431" s="357">
        <v>35056</v>
      </c>
      <c r="M431" s="357">
        <v>72438</v>
      </c>
      <c r="N431" s="357">
        <v>54329</v>
      </c>
      <c r="O431" s="357">
        <v>90547</v>
      </c>
      <c r="P431" s="357">
        <v>90547</v>
      </c>
      <c r="Q431" s="357">
        <v>90547</v>
      </c>
      <c r="R431" s="357">
        <v>90547.222399999999</v>
      </c>
      <c r="S431" s="357">
        <v>90547</v>
      </c>
      <c r="T431" s="357">
        <v>90547</v>
      </c>
      <c r="U431" s="357">
        <v>90547</v>
      </c>
      <c r="X431" s="357"/>
      <c r="Y431" s="499"/>
    </row>
    <row r="432" spans="1:25">
      <c r="A432" s="349">
        <v>403</v>
      </c>
      <c r="B432" s="353" t="s">
        <v>361</v>
      </c>
      <c r="C432" s="349" t="s">
        <v>365</v>
      </c>
      <c r="D432" s="357">
        <v>140005</v>
      </c>
      <c r="E432" s="357">
        <v>140005</v>
      </c>
      <c r="F432" s="357">
        <v>140005</v>
      </c>
      <c r="G432" s="357">
        <v>140005</v>
      </c>
      <c r="H432" s="357">
        <v>140005</v>
      </c>
      <c r="I432" s="357">
        <v>140005</v>
      </c>
      <c r="J432" s="357">
        <v>140005.1648</v>
      </c>
      <c r="K432" s="357">
        <v>140005.1648</v>
      </c>
      <c r="L432" s="357">
        <v>140005</v>
      </c>
      <c r="M432" s="357">
        <v>140005</v>
      </c>
      <c r="N432" s="357">
        <v>160006</v>
      </c>
      <c r="O432" s="357">
        <v>140005</v>
      </c>
      <c r="P432" s="357">
        <v>140005</v>
      </c>
      <c r="Q432" s="357">
        <v>140005</v>
      </c>
      <c r="R432" s="357">
        <v>140005.1648</v>
      </c>
      <c r="S432" s="357">
        <v>140005</v>
      </c>
      <c r="T432" s="357">
        <v>140005</v>
      </c>
      <c r="U432" s="357">
        <v>140005</v>
      </c>
      <c r="X432" s="357"/>
      <c r="Y432" s="499"/>
    </row>
    <row r="433" spans="1:25" ht="18">
      <c r="A433" s="349">
        <v>404</v>
      </c>
      <c r="B433" s="353" t="s">
        <v>362</v>
      </c>
      <c r="C433" s="349" t="s">
        <v>366</v>
      </c>
      <c r="D433" s="357">
        <v>60220</v>
      </c>
      <c r="E433" s="357">
        <v>25881</v>
      </c>
      <c r="F433" s="357">
        <v>28131</v>
      </c>
      <c r="G433" s="357">
        <v>25881</v>
      </c>
      <c r="H433" s="357">
        <v>25881</v>
      </c>
      <c r="I433" s="357">
        <v>25881</v>
      </c>
      <c r="J433" s="357">
        <v>28130.857599999999</v>
      </c>
      <c r="K433" s="357">
        <v>60219.836799999997</v>
      </c>
      <c r="L433" s="357">
        <v>28131</v>
      </c>
      <c r="M433" s="357">
        <v>60220</v>
      </c>
      <c r="N433" s="357">
        <v>45164</v>
      </c>
      <c r="O433" s="357">
        <v>75274</v>
      </c>
      <c r="P433" s="357">
        <v>75274</v>
      </c>
      <c r="Q433" s="357">
        <v>75274</v>
      </c>
      <c r="R433" s="357">
        <v>75274.249599999996</v>
      </c>
      <c r="S433" s="357">
        <v>75274</v>
      </c>
      <c r="T433" s="357">
        <v>75274</v>
      </c>
      <c r="U433" s="357">
        <v>75274</v>
      </c>
      <c r="X433" s="357"/>
      <c r="Y433" s="499"/>
    </row>
    <row r="434" spans="1:25">
      <c r="A434" s="349">
        <v>405</v>
      </c>
      <c r="B434" s="353" t="s">
        <v>362</v>
      </c>
      <c r="C434" s="349" t="s">
        <v>365</v>
      </c>
      <c r="D434" s="357">
        <v>82999</v>
      </c>
      <c r="E434" s="357">
        <v>82999</v>
      </c>
      <c r="F434" s="357">
        <v>82999</v>
      </c>
      <c r="G434" s="357">
        <v>82999</v>
      </c>
      <c r="H434" s="357">
        <v>82999</v>
      </c>
      <c r="I434" s="357">
        <v>82999</v>
      </c>
      <c r="J434" s="357">
        <v>82999.252800000002</v>
      </c>
      <c r="K434" s="357">
        <v>82999.252800000002</v>
      </c>
      <c r="L434" s="357">
        <v>82999</v>
      </c>
      <c r="M434" s="357">
        <v>82999</v>
      </c>
      <c r="N434" s="357">
        <v>94857</v>
      </c>
      <c r="O434" s="357">
        <v>82999</v>
      </c>
      <c r="P434" s="357">
        <v>82999</v>
      </c>
      <c r="Q434" s="357">
        <v>82999</v>
      </c>
      <c r="R434" s="357">
        <v>82999.252800000002</v>
      </c>
      <c r="S434" s="357">
        <v>82999</v>
      </c>
      <c r="T434" s="357">
        <v>82999</v>
      </c>
      <c r="U434" s="357">
        <v>82999</v>
      </c>
      <c r="X434" s="357"/>
      <c r="Y434" s="499"/>
    </row>
    <row r="435" spans="1:25" ht="18">
      <c r="A435" s="349">
        <v>406</v>
      </c>
      <c r="B435" s="353" t="s">
        <v>363</v>
      </c>
      <c r="C435" s="349" t="s">
        <v>366</v>
      </c>
      <c r="D435" s="357">
        <v>44531</v>
      </c>
      <c r="E435" s="357">
        <v>17319</v>
      </c>
      <c r="F435" s="357">
        <v>18825</v>
      </c>
      <c r="G435" s="357">
        <v>17319</v>
      </c>
      <c r="H435" s="357">
        <v>17319</v>
      </c>
      <c r="I435" s="357">
        <v>17319</v>
      </c>
      <c r="J435" s="357">
        <v>18824.572800000002</v>
      </c>
      <c r="K435" s="357">
        <v>44530.5072</v>
      </c>
      <c r="L435" s="357">
        <v>18825</v>
      </c>
      <c r="M435" s="357">
        <v>44531</v>
      </c>
      <c r="N435" s="357">
        <v>33398</v>
      </c>
      <c r="O435" s="357">
        <v>33376</v>
      </c>
      <c r="P435" s="357">
        <v>33376</v>
      </c>
      <c r="Q435" s="357">
        <v>33376</v>
      </c>
      <c r="R435" s="357">
        <v>33376.297599999998</v>
      </c>
      <c r="S435" s="357">
        <v>33376</v>
      </c>
      <c r="T435" s="357">
        <v>33376</v>
      </c>
      <c r="U435" s="357">
        <v>33376</v>
      </c>
      <c r="X435" s="357"/>
      <c r="Y435" s="499"/>
    </row>
    <row r="436" spans="1:25">
      <c r="A436" s="349">
        <v>407</v>
      </c>
      <c r="B436" s="353" t="s">
        <v>363</v>
      </c>
      <c r="C436" s="349" t="s">
        <v>365</v>
      </c>
      <c r="D436" s="357">
        <v>71989</v>
      </c>
      <c r="E436" s="357">
        <v>71989</v>
      </c>
      <c r="F436" s="357">
        <v>71989</v>
      </c>
      <c r="G436" s="357">
        <v>71989</v>
      </c>
      <c r="H436" s="357">
        <v>71989</v>
      </c>
      <c r="I436" s="357">
        <v>71989</v>
      </c>
      <c r="J436" s="357">
        <v>71989.292799999996</v>
      </c>
      <c r="K436" s="357">
        <v>71989.292799999996</v>
      </c>
      <c r="L436" s="357">
        <v>71989</v>
      </c>
      <c r="M436" s="357">
        <v>71989</v>
      </c>
      <c r="N436" s="357">
        <v>82274</v>
      </c>
      <c r="O436" s="357">
        <v>71989</v>
      </c>
      <c r="P436" s="357">
        <v>71989</v>
      </c>
      <c r="Q436" s="357">
        <v>71989</v>
      </c>
      <c r="R436" s="357">
        <v>71989.292799999996</v>
      </c>
      <c r="S436" s="357">
        <v>71989</v>
      </c>
      <c r="T436" s="357">
        <v>71989</v>
      </c>
      <c r="U436" s="357">
        <v>71989</v>
      </c>
      <c r="X436" s="357"/>
      <c r="Y436" s="499"/>
    </row>
    <row r="437" spans="1:25">
      <c r="A437" s="365">
        <v>1</v>
      </c>
      <c r="B437" s="365">
        <f>A437+1</f>
        <v>2</v>
      </c>
      <c r="C437" s="365">
        <f t="shared" ref="C437:U437" si="0">B437+1</f>
        <v>3</v>
      </c>
      <c r="D437" s="365">
        <f t="shared" si="0"/>
        <v>4</v>
      </c>
      <c r="E437" s="365">
        <f t="shared" si="0"/>
        <v>5</v>
      </c>
      <c r="F437" s="365">
        <f t="shared" si="0"/>
        <v>6</v>
      </c>
      <c r="G437" s="365">
        <f t="shared" si="0"/>
        <v>7</v>
      </c>
      <c r="H437" s="365">
        <f t="shared" si="0"/>
        <v>8</v>
      </c>
      <c r="I437" s="365">
        <f t="shared" si="0"/>
        <v>9</v>
      </c>
      <c r="J437" s="365">
        <f t="shared" si="0"/>
        <v>10</v>
      </c>
      <c r="K437" s="365">
        <f t="shared" si="0"/>
        <v>11</v>
      </c>
      <c r="L437" s="365">
        <f t="shared" si="0"/>
        <v>12</v>
      </c>
      <c r="M437" s="365">
        <f t="shared" si="0"/>
        <v>13</v>
      </c>
      <c r="N437" s="365">
        <f t="shared" si="0"/>
        <v>14</v>
      </c>
      <c r="O437" s="365">
        <f t="shared" si="0"/>
        <v>15</v>
      </c>
      <c r="P437" s="365">
        <f t="shared" si="0"/>
        <v>16</v>
      </c>
      <c r="Q437" s="365">
        <f t="shared" si="0"/>
        <v>17</v>
      </c>
      <c r="R437" s="365">
        <f t="shared" si="0"/>
        <v>18</v>
      </c>
      <c r="S437" s="365">
        <f t="shared" si="0"/>
        <v>19</v>
      </c>
      <c r="T437" s="365">
        <f t="shared" si="0"/>
        <v>20</v>
      </c>
      <c r="U437" s="365">
        <f t="shared" si="0"/>
        <v>21</v>
      </c>
    </row>
  </sheetData>
  <mergeCells count="28">
    <mergeCell ref="B7:C7"/>
    <mergeCell ref="B2:C2"/>
    <mergeCell ref="B3:C3"/>
    <mergeCell ref="B4:C4"/>
    <mergeCell ref="A5:C5"/>
    <mergeCell ref="B6:C6"/>
    <mergeCell ref="A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A29:B29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6"/>
  <sheetViews>
    <sheetView topLeftCell="A27" workbookViewId="0">
      <selection activeCell="I47" sqref="I47"/>
    </sheetView>
  </sheetViews>
  <sheetFormatPr baseColWidth="10" defaultRowHeight="15"/>
  <cols>
    <col min="1" max="1" width="53.28515625" customWidth="1"/>
    <col min="4" max="4" width="13.7109375" customWidth="1"/>
    <col min="5" max="5" width="10.5703125" customWidth="1"/>
    <col min="7" max="7" width="12.7109375" bestFit="1" customWidth="1"/>
    <col min="8" max="8" width="18.28515625" bestFit="1" customWidth="1"/>
    <col min="9" max="9" width="15.7109375" bestFit="1" customWidth="1"/>
    <col min="10" max="10" width="18" bestFit="1" customWidth="1"/>
    <col min="257" max="257" width="39.7109375" customWidth="1"/>
    <col min="260" max="260" width="13.7109375" customWidth="1"/>
    <col min="261" max="261" width="10.5703125" customWidth="1"/>
    <col min="264" max="264" width="18.28515625" bestFit="1" customWidth="1"/>
    <col min="265" max="265" width="15.7109375" bestFit="1" customWidth="1"/>
    <col min="266" max="266" width="18" bestFit="1" customWidth="1"/>
    <col min="513" max="513" width="39.7109375" customWidth="1"/>
    <col min="516" max="516" width="13.7109375" customWidth="1"/>
    <col min="517" max="517" width="10.5703125" customWidth="1"/>
    <col min="520" max="520" width="18.28515625" bestFit="1" customWidth="1"/>
    <col min="521" max="521" width="15.7109375" bestFit="1" customWidth="1"/>
    <col min="522" max="522" width="18" bestFit="1" customWidth="1"/>
    <col min="769" max="769" width="39.7109375" customWidth="1"/>
    <col min="772" max="772" width="13.7109375" customWidth="1"/>
    <col min="773" max="773" width="10.5703125" customWidth="1"/>
    <col min="776" max="776" width="18.28515625" bestFit="1" customWidth="1"/>
    <col min="777" max="777" width="15.7109375" bestFit="1" customWidth="1"/>
    <col min="778" max="778" width="18" bestFit="1" customWidth="1"/>
    <col min="1025" max="1025" width="39.7109375" customWidth="1"/>
    <col min="1028" max="1028" width="13.7109375" customWidth="1"/>
    <col min="1029" max="1029" width="10.5703125" customWidth="1"/>
    <col min="1032" max="1032" width="18.28515625" bestFit="1" customWidth="1"/>
    <col min="1033" max="1033" width="15.7109375" bestFit="1" customWidth="1"/>
    <col min="1034" max="1034" width="18" bestFit="1" customWidth="1"/>
    <col min="1281" max="1281" width="39.7109375" customWidth="1"/>
    <col min="1284" max="1284" width="13.7109375" customWidth="1"/>
    <col min="1285" max="1285" width="10.5703125" customWidth="1"/>
    <col min="1288" max="1288" width="18.28515625" bestFit="1" customWidth="1"/>
    <col min="1289" max="1289" width="15.7109375" bestFit="1" customWidth="1"/>
    <col min="1290" max="1290" width="18" bestFit="1" customWidth="1"/>
    <col min="1537" max="1537" width="39.7109375" customWidth="1"/>
    <col min="1540" max="1540" width="13.7109375" customWidth="1"/>
    <col min="1541" max="1541" width="10.5703125" customWidth="1"/>
    <col min="1544" max="1544" width="18.28515625" bestFit="1" customWidth="1"/>
    <col min="1545" max="1545" width="15.7109375" bestFit="1" customWidth="1"/>
    <col min="1546" max="1546" width="18" bestFit="1" customWidth="1"/>
    <col min="1793" max="1793" width="39.7109375" customWidth="1"/>
    <col min="1796" max="1796" width="13.7109375" customWidth="1"/>
    <col min="1797" max="1797" width="10.5703125" customWidth="1"/>
    <col min="1800" max="1800" width="18.28515625" bestFit="1" customWidth="1"/>
    <col min="1801" max="1801" width="15.7109375" bestFit="1" customWidth="1"/>
    <col min="1802" max="1802" width="18" bestFit="1" customWidth="1"/>
    <col min="2049" max="2049" width="39.7109375" customWidth="1"/>
    <col min="2052" max="2052" width="13.7109375" customWidth="1"/>
    <col min="2053" max="2053" width="10.5703125" customWidth="1"/>
    <col min="2056" max="2056" width="18.28515625" bestFit="1" customWidth="1"/>
    <col min="2057" max="2057" width="15.7109375" bestFit="1" customWidth="1"/>
    <col min="2058" max="2058" width="18" bestFit="1" customWidth="1"/>
    <col min="2305" max="2305" width="39.7109375" customWidth="1"/>
    <col min="2308" max="2308" width="13.7109375" customWidth="1"/>
    <col min="2309" max="2309" width="10.5703125" customWidth="1"/>
    <col min="2312" max="2312" width="18.28515625" bestFit="1" customWidth="1"/>
    <col min="2313" max="2313" width="15.7109375" bestFit="1" customWidth="1"/>
    <col min="2314" max="2314" width="18" bestFit="1" customWidth="1"/>
    <col min="2561" max="2561" width="39.7109375" customWidth="1"/>
    <col min="2564" max="2564" width="13.7109375" customWidth="1"/>
    <col min="2565" max="2565" width="10.5703125" customWidth="1"/>
    <col min="2568" max="2568" width="18.28515625" bestFit="1" customWidth="1"/>
    <col min="2569" max="2569" width="15.7109375" bestFit="1" customWidth="1"/>
    <col min="2570" max="2570" width="18" bestFit="1" customWidth="1"/>
    <col min="2817" max="2817" width="39.7109375" customWidth="1"/>
    <col min="2820" max="2820" width="13.7109375" customWidth="1"/>
    <col min="2821" max="2821" width="10.5703125" customWidth="1"/>
    <col min="2824" max="2824" width="18.28515625" bestFit="1" customWidth="1"/>
    <col min="2825" max="2825" width="15.7109375" bestFit="1" customWidth="1"/>
    <col min="2826" max="2826" width="18" bestFit="1" customWidth="1"/>
    <col min="3073" max="3073" width="39.7109375" customWidth="1"/>
    <col min="3076" max="3076" width="13.7109375" customWidth="1"/>
    <col min="3077" max="3077" width="10.5703125" customWidth="1"/>
    <col min="3080" max="3080" width="18.28515625" bestFit="1" customWidth="1"/>
    <col min="3081" max="3081" width="15.7109375" bestFit="1" customWidth="1"/>
    <col min="3082" max="3082" width="18" bestFit="1" customWidth="1"/>
    <col min="3329" max="3329" width="39.7109375" customWidth="1"/>
    <col min="3332" max="3332" width="13.7109375" customWidth="1"/>
    <col min="3333" max="3333" width="10.5703125" customWidth="1"/>
    <col min="3336" max="3336" width="18.28515625" bestFit="1" customWidth="1"/>
    <col min="3337" max="3337" width="15.7109375" bestFit="1" customWidth="1"/>
    <col min="3338" max="3338" width="18" bestFit="1" customWidth="1"/>
    <col min="3585" max="3585" width="39.7109375" customWidth="1"/>
    <col min="3588" max="3588" width="13.7109375" customWidth="1"/>
    <col min="3589" max="3589" width="10.5703125" customWidth="1"/>
    <col min="3592" max="3592" width="18.28515625" bestFit="1" customWidth="1"/>
    <col min="3593" max="3593" width="15.7109375" bestFit="1" customWidth="1"/>
    <col min="3594" max="3594" width="18" bestFit="1" customWidth="1"/>
    <col min="3841" max="3841" width="39.7109375" customWidth="1"/>
    <col min="3844" max="3844" width="13.7109375" customWidth="1"/>
    <col min="3845" max="3845" width="10.5703125" customWidth="1"/>
    <col min="3848" max="3848" width="18.28515625" bestFit="1" customWidth="1"/>
    <col min="3849" max="3849" width="15.7109375" bestFit="1" customWidth="1"/>
    <col min="3850" max="3850" width="18" bestFit="1" customWidth="1"/>
    <col min="4097" max="4097" width="39.7109375" customWidth="1"/>
    <col min="4100" max="4100" width="13.7109375" customWidth="1"/>
    <col min="4101" max="4101" width="10.5703125" customWidth="1"/>
    <col min="4104" max="4104" width="18.28515625" bestFit="1" customWidth="1"/>
    <col min="4105" max="4105" width="15.7109375" bestFit="1" customWidth="1"/>
    <col min="4106" max="4106" width="18" bestFit="1" customWidth="1"/>
    <col min="4353" max="4353" width="39.7109375" customWidth="1"/>
    <col min="4356" max="4356" width="13.7109375" customWidth="1"/>
    <col min="4357" max="4357" width="10.5703125" customWidth="1"/>
    <col min="4360" max="4360" width="18.28515625" bestFit="1" customWidth="1"/>
    <col min="4361" max="4361" width="15.7109375" bestFit="1" customWidth="1"/>
    <col min="4362" max="4362" width="18" bestFit="1" customWidth="1"/>
    <col min="4609" max="4609" width="39.7109375" customWidth="1"/>
    <col min="4612" max="4612" width="13.7109375" customWidth="1"/>
    <col min="4613" max="4613" width="10.5703125" customWidth="1"/>
    <col min="4616" max="4616" width="18.28515625" bestFit="1" customWidth="1"/>
    <col min="4617" max="4617" width="15.7109375" bestFit="1" customWidth="1"/>
    <col min="4618" max="4618" width="18" bestFit="1" customWidth="1"/>
    <col min="4865" max="4865" width="39.7109375" customWidth="1"/>
    <col min="4868" max="4868" width="13.7109375" customWidth="1"/>
    <col min="4869" max="4869" width="10.5703125" customWidth="1"/>
    <col min="4872" max="4872" width="18.28515625" bestFit="1" customWidth="1"/>
    <col min="4873" max="4873" width="15.7109375" bestFit="1" customWidth="1"/>
    <col min="4874" max="4874" width="18" bestFit="1" customWidth="1"/>
    <col min="5121" max="5121" width="39.7109375" customWidth="1"/>
    <col min="5124" max="5124" width="13.7109375" customWidth="1"/>
    <col min="5125" max="5125" width="10.5703125" customWidth="1"/>
    <col min="5128" max="5128" width="18.28515625" bestFit="1" customWidth="1"/>
    <col min="5129" max="5129" width="15.7109375" bestFit="1" customWidth="1"/>
    <col min="5130" max="5130" width="18" bestFit="1" customWidth="1"/>
    <col min="5377" max="5377" width="39.7109375" customWidth="1"/>
    <col min="5380" max="5380" width="13.7109375" customWidth="1"/>
    <col min="5381" max="5381" width="10.5703125" customWidth="1"/>
    <col min="5384" max="5384" width="18.28515625" bestFit="1" customWidth="1"/>
    <col min="5385" max="5385" width="15.7109375" bestFit="1" customWidth="1"/>
    <col min="5386" max="5386" width="18" bestFit="1" customWidth="1"/>
    <col min="5633" max="5633" width="39.7109375" customWidth="1"/>
    <col min="5636" max="5636" width="13.7109375" customWidth="1"/>
    <col min="5637" max="5637" width="10.5703125" customWidth="1"/>
    <col min="5640" max="5640" width="18.28515625" bestFit="1" customWidth="1"/>
    <col min="5641" max="5641" width="15.7109375" bestFit="1" customWidth="1"/>
    <col min="5642" max="5642" width="18" bestFit="1" customWidth="1"/>
    <col min="5889" max="5889" width="39.7109375" customWidth="1"/>
    <col min="5892" max="5892" width="13.7109375" customWidth="1"/>
    <col min="5893" max="5893" width="10.5703125" customWidth="1"/>
    <col min="5896" max="5896" width="18.28515625" bestFit="1" customWidth="1"/>
    <col min="5897" max="5897" width="15.7109375" bestFit="1" customWidth="1"/>
    <col min="5898" max="5898" width="18" bestFit="1" customWidth="1"/>
    <col min="6145" max="6145" width="39.7109375" customWidth="1"/>
    <col min="6148" max="6148" width="13.7109375" customWidth="1"/>
    <col min="6149" max="6149" width="10.5703125" customWidth="1"/>
    <col min="6152" max="6152" width="18.28515625" bestFit="1" customWidth="1"/>
    <col min="6153" max="6153" width="15.7109375" bestFit="1" customWidth="1"/>
    <col min="6154" max="6154" width="18" bestFit="1" customWidth="1"/>
    <col min="6401" max="6401" width="39.7109375" customWidth="1"/>
    <col min="6404" max="6404" width="13.7109375" customWidth="1"/>
    <col min="6405" max="6405" width="10.5703125" customWidth="1"/>
    <col min="6408" max="6408" width="18.28515625" bestFit="1" customWidth="1"/>
    <col min="6409" max="6409" width="15.7109375" bestFit="1" customWidth="1"/>
    <col min="6410" max="6410" width="18" bestFit="1" customWidth="1"/>
    <col min="6657" max="6657" width="39.7109375" customWidth="1"/>
    <col min="6660" max="6660" width="13.7109375" customWidth="1"/>
    <col min="6661" max="6661" width="10.5703125" customWidth="1"/>
    <col min="6664" max="6664" width="18.28515625" bestFit="1" customWidth="1"/>
    <col min="6665" max="6665" width="15.7109375" bestFit="1" customWidth="1"/>
    <col min="6666" max="6666" width="18" bestFit="1" customWidth="1"/>
    <col min="6913" max="6913" width="39.7109375" customWidth="1"/>
    <col min="6916" max="6916" width="13.7109375" customWidth="1"/>
    <col min="6917" max="6917" width="10.5703125" customWidth="1"/>
    <col min="6920" max="6920" width="18.28515625" bestFit="1" customWidth="1"/>
    <col min="6921" max="6921" width="15.7109375" bestFit="1" customWidth="1"/>
    <col min="6922" max="6922" width="18" bestFit="1" customWidth="1"/>
    <col min="7169" max="7169" width="39.7109375" customWidth="1"/>
    <col min="7172" max="7172" width="13.7109375" customWidth="1"/>
    <col min="7173" max="7173" width="10.5703125" customWidth="1"/>
    <col min="7176" max="7176" width="18.28515625" bestFit="1" customWidth="1"/>
    <col min="7177" max="7177" width="15.7109375" bestFit="1" customWidth="1"/>
    <col min="7178" max="7178" width="18" bestFit="1" customWidth="1"/>
    <col min="7425" max="7425" width="39.7109375" customWidth="1"/>
    <col min="7428" max="7428" width="13.7109375" customWidth="1"/>
    <col min="7429" max="7429" width="10.5703125" customWidth="1"/>
    <col min="7432" max="7432" width="18.28515625" bestFit="1" customWidth="1"/>
    <col min="7433" max="7433" width="15.7109375" bestFit="1" customWidth="1"/>
    <col min="7434" max="7434" width="18" bestFit="1" customWidth="1"/>
    <col min="7681" max="7681" width="39.7109375" customWidth="1"/>
    <col min="7684" max="7684" width="13.7109375" customWidth="1"/>
    <col min="7685" max="7685" width="10.5703125" customWidth="1"/>
    <col min="7688" max="7688" width="18.28515625" bestFit="1" customWidth="1"/>
    <col min="7689" max="7689" width="15.7109375" bestFit="1" customWidth="1"/>
    <col min="7690" max="7690" width="18" bestFit="1" customWidth="1"/>
    <col min="7937" max="7937" width="39.7109375" customWidth="1"/>
    <col min="7940" max="7940" width="13.7109375" customWidth="1"/>
    <col min="7941" max="7941" width="10.5703125" customWidth="1"/>
    <col min="7944" max="7944" width="18.28515625" bestFit="1" customWidth="1"/>
    <col min="7945" max="7945" width="15.7109375" bestFit="1" customWidth="1"/>
    <col min="7946" max="7946" width="18" bestFit="1" customWidth="1"/>
    <col min="8193" max="8193" width="39.7109375" customWidth="1"/>
    <col min="8196" max="8196" width="13.7109375" customWidth="1"/>
    <col min="8197" max="8197" width="10.5703125" customWidth="1"/>
    <col min="8200" max="8200" width="18.28515625" bestFit="1" customWidth="1"/>
    <col min="8201" max="8201" width="15.7109375" bestFit="1" customWidth="1"/>
    <col min="8202" max="8202" width="18" bestFit="1" customWidth="1"/>
    <col min="8449" max="8449" width="39.7109375" customWidth="1"/>
    <col min="8452" max="8452" width="13.7109375" customWidth="1"/>
    <col min="8453" max="8453" width="10.5703125" customWidth="1"/>
    <col min="8456" max="8456" width="18.28515625" bestFit="1" customWidth="1"/>
    <col min="8457" max="8457" width="15.7109375" bestFit="1" customWidth="1"/>
    <col min="8458" max="8458" width="18" bestFit="1" customWidth="1"/>
    <col min="8705" max="8705" width="39.7109375" customWidth="1"/>
    <col min="8708" max="8708" width="13.7109375" customWidth="1"/>
    <col min="8709" max="8709" width="10.5703125" customWidth="1"/>
    <col min="8712" max="8712" width="18.28515625" bestFit="1" customWidth="1"/>
    <col min="8713" max="8713" width="15.7109375" bestFit="1" customWidth="1"/>
    <col min="8714" max="8714" width="18" bestFit="1" customWidth="1"/>
    <col min="8961" max="8961" width="39.7109375" customWidth="1"/>
    <col min="8964" max="8964" width="13.7109375" customWidth="1"/>
    <col min="8965" max="8965" width="10.5703125" customWidth="1"/>
    <col min="8968" max="8968" width="18.28515625" bestFit="1" customWidth="1"/>
    <col min="8969" max="8969" width="15.7109375" bestFit="1" customWidth="1"/>
    <col min="8970" max="8970" width="18" bestFit="1" customWidth="1"/>
    <col min="9217" max="9217" width="39.7109375" customWidth="1"/>
    <col min="9220" max="9220" width="13.7109375" customWidth="1"/>
    <col min="9221" max="9221" width="10.5703125" customWidth="1"/>
    <col min="9224" max="9224" width="18.28515625" bestFit="1" customWidth="1"/>
    <col min="9225" max="9225" width="15.7109375" bestFit="1" customWidth="1"/>
    <col min="9226" max="9226" width="18" bestFit="1" customWidth="1"/>
    <col min="9473" max="9473" width="39.7109375" customWidth="1"/>
    <col min="9476" max="9476" width="13.7109375" customWidth="1"/>
    <col min="9477" max="9477" width="10.5703125" customWidth="1"/>
    <col min="9480" max="9480" width="18.28515625" bestFit="1" customWidth="1"/>
    <col min="9481" max="9481" width="15.7109375" bestFit="1" customWidth="1"/>
    <col min="9482" max="9482" width="18" bestFit="1" customWidth="1"/>
    <col min="9729" max="9729" width="39.7109375" customWidth="1"/>
    <col min="9732" max="9732" width="13.7109375" customWidth="1"/>
    <col min="9733" max="9733" width="10.5703125" customWidth="1"/>
    <col min="9736" max="9736" width="18.28515625" bestFit="1" customWidth="1"/>
    <col min="9737" max="9737" width="15.7109375" bestFit="1" customWidth="1"/>
    <col min="9738" max="9738" width="18" bestFit="1" customWidth="1"/>
    <col min="9985" max="9985" width="39.7109375" customWidth="1"/>
    <col min="9988" max="9988" width="13.7109375" customWidth="1"/>
    <col min="9989" max="9989" width="10.5703125" customWidth="1"/>
    <col min="9992" max="9992" width="18.28515625" bestFit="1" customWidth="1"/>
    <col min="9993" max="9993" width="15.7109375" bestFit="1" customWidth="1"/>
    <col min="9994" max="9994" width="18" bestFit="1" customWidth="1"/>
    <col min="10241" max="10241" width="39.7109375" customWidth="1"/>
    <col min="10244" max="10244" width="13.7109375" customWidth="1"/>
    <col min="10245" max="10245" width="10.5703125" customWidth="1"/>
    <col min="10248" max="10248" width="18.28515625" bestFit="1" customWidth="1"/>
    <col min="10249" max="10249" width="15.7109375" bestFit="1" customWidth="1"/>
    <col min="10250" max="10250" width="18" bestFit="1" customWidth="1"/>
    <col min="10497" max="10497" width="39.7109375" customWidth="1"/>
    <col min="10500" max="10500" width="13.7109375" customWidth="1"/>
    <col min="10501" max="10501" width="10.5703125" customWidth="1"/>
    <col min="10504" max="10504" width="18.28515625" bestFit="1" customWidth="1"/>
    <col min="10505" max="10505" width="15.7109375" bestFit="1" customWidth="1"/>
    <col min="10506" max="10506" width="18" bestFit="1" customWidth="1"/>
    <col min="10753" max="10753" width="39.7109375" customWidth="1"/>
    <col min="10756" max="10756" width="13.7109375" customWidth="1"/>
    <col min="10757" max="10757" width="10.5703125" customWidth="1"/>
    <col min="10760" max="10760" width="18.28515625" bestFit="1" customWidth="1"/>
    <col min="10761" max="10761" width="15.7109375" bestFit="1" customWidth="1"/>
    <col min="10762" max="10762" width="18" bestFit="1" customWidth="1"/>
    <col min="11009" max="11009" width="39.7109375" customWidth="1"/>
    <col min="11012" max="11012" width="13.7109375" customWidth="1"/>
    <col min="11013" max="11013" width="10.5703125" customWidth="1"/>
    <col min="11016" max="11016" width="18.28515625" bestFit="1" customWidth="1"/>
    <col min="11017" max="11017" width="15.7109375" bestFit="1" customWidth="1"/>
    <col min="11018" max="11018" width="18" bestFit="1" customWidth="1"/>
    <col min="11265" max="11265" width="39.7109375" customWidth="1"/>
    <col min="11268" max="11268" width="13.7109375" customWidth="1"/>
    <col min="11269" max="11269" width="10.5703125" customWidth="1"/>
    <col min="11272" max="11272" width="18.28515625" bestFit="1" customWidth="1"/>
    <col min="11273" max="11273" width="15.7109375" bestFit="1" customWidth="1"/>
    <col min="11274" max="11274" width="18" bestFit="1" customWidth="1"/>
    <col min="11521" max="11521" width="39.7109375" customWidth="1"/>
    <col min="11524" max="11524" width="13.7109375" customWidth="1"/>
    <col min="11525" max="11525" width="10.5703125" customWidth="1"/>
    <col min="11528" max="11528" width="18.28515625" bestFit="1" customWidth="1"/>
    <col min="11529" max="11529" width="15.7109375" bestFit="1" customWidth="1"/>
    <col min="11530" max="11530" width="18" bestFit="1" customWidth="1"/>
    <col min="11777" max="11777" width="39.7109375" customWidth="1"/>
    <col min="11780" max="11780" width="13.7109375" customWidth="1"/>
    <col min="11781" max="11781" width="10.5703125" customWidth="1"/>
    <col min="11784" max="11784" width="18.28515625" bestFit="1" customWidth="1"/>
    <col min="11785" max="11785" width="15.7109375" bestFit="1" customWidth="1"/>
    <col min="11786" max="11786" width="18" bestFit="1" customWidth="1"/>
    <col min="12033" max="12033" width="39.7109375" customWidth="1"/>
    <col min="12036" max="12036" width="13.7109375" customWidth="1"/>
    <col min="12037" max="12037" width="10.5703125" customWidth="1"/>
    <col min="12040" max="12040" width="18.28515625" bestFit="1" customWidth="1"/>
    <col min="12041" max="12041" width="15.7109375" bestFit="1" customWidth="1"/>
    <col min="12042" max="12042" width="18" bestFit="1" customWidth="1"/>
    <col min="12289" max="12289" width="39.7109375" customWidth="1"/>
    <col min="12292" max="12292" width="13.7109375" customWidth="1"/>
    <col min="12293" max="12293" width="10.5703125" customWidth="1"/>
    <col min="12296" max="12296" width="18.28515625" bestFit="1" customWidth="1"/>
    <col min="12297" max="12297" width="15.7109375" bestFit="1" customWidth="1"/>
    <col min="12298" max="12298" width="18" bestFit="1" customWidth="1"/>
    <col min="12545" max="12545" width="39.7109375" customWidth="1"/>
    <col min="12548" max="12548" width="13.7109375" customWidth="1"/>
    <col min="12549" max="12549" width="10.5703125" customWidth="1"/>
    <col min="12552" max="12552" width="18.28515625" bestFit="1" customWidth="1"/>
    <col min="12553" max="12553" width="15.7109375" bestFit="1" customWidth="1"/>
    <col min="12554" max="12554" width="18" bestFit="1" customWidth="1"/>
    <col min="12801" max="12801" width="39.7109375" customWidth="1"/>
    <col min="12804" max="12804" width="13.7109375" customWidth="1"/>
    <col min="12805" max="12805" width="10.5703125" customWidth="1"/>
    <col min="12808" max="12808" width="18.28515625" bestFit="1" customWidth="1"/>
    <col min="12809" max="12809" width="15.7109375" bestFit="1" customWidth="1"/>
    <col min="12810" max="12810" width="18" bestFit="1" customWidth="1"/>
    <col min="13057" max="13057" width="39.7109375" customWidth="1"/>
    <col min="13060" max="13060" width="13.7109375" customWidth="1"/>
    <col min="13061" max="13061" width="10.5703125" customWidth="1"/>
    <col min="13064" max="13064" width="18.28515625" bestFit="1" customWidth="1"/>
    <col min="13065" max="13065" width="15.7109375" bestFit="1" customWidth="1"/>
    <col min="13066" max="13066" width="18" bestFit="1" customWidth="1"/>
    <col min="13313" max="13313" width="39.7109375" customWidth="1"/>
    <col min="13316" max="13316" width="13.7109375" customWidth="1"/>
    <col min="13317" max="13317" width="10.5703125" customWidth="1"/>
    <col min="13320" max="13320" width="18.28515625" bestFit="1" customWidth="1"/>
    <col min="13321" max="13321" width="15.7109375" bestFit="1" customWidth="1"/>
    <col min="13322" max="13322" width="18" bestFit="1" customWidth="1"/>
    <col min="13569" max="13569" width="39.7109375" customWidth="1"/>
    <col min="13572" max="13572" width="13.7109375" customWidth="1"/>
    <col min="13573" max="13573" width="10.5703125" customWidth="1"/>
    <col min="13576" max="13576" width="18.28515625" bestFit="1" customWidth="1"/>
    <col min="13577" max="13577" width="15.7109375" bestFit="1" customWidth="1"/>
    <col min="13578" max="13578" width="18" bestFit="1" customWidth="1"/>
    <col min="13825" max="13825" width="39.7109375" customWidth="1"/>
    <col min="13828" max="13828" width="13.7109375" customWidth="1"/>
    <col min="13829" max="13829" width="10.5703125" customWidth="1"/>
    <col min="13832" max="13832" width="18.28515625" bestFit="1" customWidth="1"/>
    <col min="13833" max="13833" width="15.7109375" bestFit="1" customWidth="1"/>
    <col min="13834" max="13834" width="18" bestFit="1" customWidth="1"/>
    <col min="14081" max="14081" width="39.7109375" customWidth="1"/>
    <col min="14084" max="14084" width="13.7109375" customWidth="1"/>
    <col min="14085" max="14085" width="10.5703125" customWidth="1"/>
    <col min="14088" max="14088" width="18.28515625" bestFit="1" customWidth="1"/>
    <col min="14089" max="14089" width="15.7109375" bestFit="1" customWidth="1"/>
    <col min="14090" max="14090" width="18" bestFit="1" customWidth="1"/>
    <col min="14337" max="14337" width="39.7109375" customWidth="1"/>
    <col min="14340" max="14340" width="13.7109375" customWidth="1"/>
    <col min="14341" max="14341" width="10.5703125" customWidth="1"/>
    <col min="14344" max="14344" width="18.28515625" bestFit="1" customWidth="1"/>
    <col min="14345" max="14345" width="15.7109375" bestFit="1" customWidth="1"/>
    <col min="14346" max="14346" width="18" bestFit="1" customWidth="1"/>
    <col min="14593" max="14593" width="39.7109375" customWidth="1"/>
    <col min="14596" max="14596" width="13.7109375" customWidth="1"/>
    <col min="14597" max="14597" width="10.5703125" customWidth="1"/>
    <col min="14600" max="14600" width="18.28515625" bestFit="1" customWidth="1"/>
    <col min="14601" max="14601" width="15.7109375" bestFit="1" customWidth="1"/>
    <col min="14602" max="14602" width="18" bestFit="1" customWidth="1"/>
    <col min="14849" max="14849" width="39.7109375" customWidth="1"/>
    <col min="14852" max="14852" width="13.7109375" customWidth="1"/>
    <col min="14853" max="14853" width="10.5703125" customWidth="1"/>
    <col min="14856" max="14856" width="18.28515625" bestFit="1" customWidth="1"/>
    <col min="14857" max="14857" width="15.7109375" bestFit="1" customWidth="1"/>
    <col min="14858" max="14858" width="18" bestFit="1" customWidth="1"/>
    <col min="15105" max="15105" width="39.7109375" customWidth="1"/>
    <col min="15108" max="15108" width="13.7109375" customWidth="1"/>
    <col min="15109" max="15109" width="10.5703125" customWidth="1"/>
    <col min="15112" max="15112" width="18.28515625" bestFit="1" customWidth="1"/>
    <col min="15113" max="15113" width="15.7109375" bestFit="1" customWidth="1"/>
    <col min="15114" max="15114" width="18" bestFit="1" customWidth="1"/>
    <col min="15361" max="15361" width="39.7109375" customWidth="1"/>
    <col min="15364" max="15364" width="13.7109375" customWidth="1"/>
    <col min="15365" max="15365" width="10.5703125" customWidth="1"/>
    <col min="15368" max="15368" width="18.28515625" bestFit="1" customWidth="1"/>
    <col min="15369" max="15369" width="15.7109375" bestFit="1" customWidth="1"/>
    <col min="15370" max="15370" width="18" bestFit="1" customWidth="1"/>
    <col min="15617" max="15617" width="39.7109375" customWidth="1"/>
    <col min="15620" max="15620" width="13.7109375" customWidth="1"/>
    <col min="15621" max="15621" width="10.5703125" customWidth="1"/>
    <col min="15624" max="15624" width="18.28515625" bestFit="1" customWidth="1"/>
    <col min="15625" max="15625" width="15.7109375" bestFit="1" customWidth="1"/>
    <col min="15626" max="15626" width="18" bestFit="1" customWidth="1"/>
    <col min="15873" max="15873" width="39.7109375" customWidth="1"/>
    <col min="15876" max="15876" width="13.7109375" customWidth="1"/>
    <col min="15877" max="15877" width="10.5703125" customWidth="1"/>
    <col min="15880" max="15880" width="18.28515625" bestFit="1" customWidth="1"/>
    <col min="15881" max="15881" width="15.7109375" bestFit="1" customWidth="1"/>
    <col min="15882" max="15882" width="18" bestFit="1" customWidth="1"/>
    <col min="16129" max="16129" width="39.7109375" customWidth="1"/>
    <col min="16132" max="16132" width="13.7109375" customWidth="1"/>
    <col min="16133" max="16133" width="10.5703125" customWidth="1"/>
    <col min="16136" max="16136" width="18.28515625" bestFit="1" customWidth="1"/>
    <col min="16137" max="16137" width="15.7109375" bestFit="1" customWidth="1"/>
    <col min="16138" max="16138" width="18" bestFit="1" customWidth="1"/>
  </cols>
  <sheetData>
    <row r="1" spans="1:12" ht="15.75">
      <c r="A1" s="551" t="s">
        <v>508</v>
      </c>
      <c r="B1" s="551"/>
      <c r="C1" s="551"/>
      <c r="D1" s="551"/>
      <c r="E1" s="551"/>
      <c r="F1" s="551"/>
    </row>
    <row r="2" spans="1:12">
      <c r="A2" s="552" t="s">
        <v>509</v>
      </c>
      <c r="B2" s="552"/>
      <c r="C2" s="552"/>
      <c r="D2" s="552"/>
      <c r="E2" s="552"/>
      <c r="F2" s="552"/>
    </row>
    <row r="3" spans="1:12">
      <c r="A3" s="553" t="s">
        <v>510</v>
      </c>
      <c r="B3" s="553"/>
      <c r="C3" s="553"/>
      <c r="D3" s="553"/>
      <c r="E3" s="553"/>
      <c r="F3" s="553"/>
    </row>
    <row r="4" spans="1:12" ht="15.75" thickBot="1">
      <c r="A4" s="139"/>
      <c r="B4" s="139"/>
      <c r="C4" s="139"/>
      <c r="D4" s="139"/>
      <c r="E4" s="139"/>
      <c r="F4" s="139"/>
    </row>
    <row r="5" spans="1:12" ht="33.75">
      <c r="A5" s="554" t="s">
        <v>1</v>
      </c>
      <c r="B5" s="555"/>
      <c r="C5" s="140" t="s">
        <v>511</v>
      </c>
      <c r="D5" s="140" t="s">
        <v>512</v>
      </c>
      <c r="E5" s="140" t="s">
        <v>513</v>
      </c>
      <c r="F5" s="141" t="s">
        <v>514</v>
      </c>
    </row>
    <row r="6" spans="1:12">
      <c r="A6" s="142" t="s">
        <v>412</v>
      </c>
      <c r="B6" s="143"/>
      <c r="C6" s="144"/>
      <c r="D6" s="145"/>
      <c r="E6" s="144"/>
      <c r="F6" s="146"/>
    </row>
    <row r="7" spans="1:12">
      <c r="A7" s="147" t="s">
        <v>515</v>
      </c>
      <c r="B7" s="148"/>
      <c r="C7" s="149"/>
      <c r="D7" s="150">
        <v>1300000</v>
      </c>
      <c r="E7" s="151"/>
      <c r="F7" s="152"/>
      <c r="G7" s="514">
        <v>30</v>
      </c>
    </row>
    <row r="8" spans="1:12">
      <c r="A8" s="147" t="s">
        <v>516</v>
      </c>
      <c r="B8" s="148"/>
      <c r="C8" s="149"/>
      <c r="D8" s="150">
        <v>162000</v>
      </c>
      <c r="E8" s="151"/>
      <c r="F8" s="152"/>
      <c r="G8" s="515">
        <f>+I16+J16</f>
        <v>10.16</v>
      </c>
    </row>
    <row r="9" spans="1:12">
      <c r="A9" s="147" t="s">
        <v>517</v>
      </c>
      <c r="B9" s="148"/>
      <c r="C9" s="149"/>
      <c r="D9" s="151">
        <f>+D7/235</f>
        <v>5531.9148936170213</v>
      </c>
      <c r="E9" s="150">
        <v>235</v>
      </c>
      <c r="F9" s="152">
        <f>E9*D9</f>
        <v>1300000</v>
      </c>
      <c r="G9" s="515">
        <f>+G7-G8</f>
        <v>19.84</v>
      </c>
    </row>
    <row r="10" spans="1:12">
      <c r="A10" s="147" t="s">
        <v>518</v>
      </c>
      <c r="B10" s="148"/>
      <c r="C10" s="153">
        <v>0.35</v>
      </c>
      <c r="D10" s="512">
        <f>($D$7/$E$9)*C10</f>
        <v>1936.1702127659573</v>
      </c>
      <c r="E10" s="498"/>
      <c r="F10" s="513">
        <f t="shared" ref="F10:F16" si="0">D10*E10</f>
        <v>0</v>
      </c>
      <c r="G10" s="516">
        <v>38413.617021276594</v>
      </c>
      <c r="K10" s="154"/>
    </row>
    <row r="11" spans="1:12">
      <c r="A11" s="147" t="s">
        <v>519</v>
      </c>
      <c r="B11" s="148"/>
      <c r="C11" s="155">
        <v>1.25</v>
      </c>
      <c r="D11" s="151">
        <f t="shared" ref="D11:D17" si="1">$D$9*C11</f>
        <v>6914.8936170212764</v>
      </c>
      <c r="E11" s="150"/>
      <c r="F11" s="152">
        <f t="shared" si="0"/>
        <v>0</v>
      </c>
      <c r="G11" s="517">
        <v>6</v>
      </c>
    </row>
    <row r="12" spans="1:12">
      <c r="A12" s="147" t="s">
        <v>520</v>
      </c>
      <c r="B12" s="148"/>
      <c r="C12" s="155">
        <v>1.75</v>
      </c>
      <c r="D12" s="151">
        <f t="shared" si="1"/>
        <v>9680.8510638297867</v>
      </c>
      <c r="E12" s="150"/>
      <c r="F12" s="152">
        <f t="shared" si="0"/>
        <v>0</v>
      </c>
      <c r="G12" s="518">
        <f>+G10*G11</f>
        <v>230481.70212765958</v>
      </c>
    </row>
    <row r="13" spans="1:12">
      <c r="A13" s="147" t="s">
        <v>521</v>
      </c>
      <c r="B13" s="148"/>
      <c r="C13" s="156">
        <v>1.75</v>
      </c>
      <c r="D13" s="151">
        <f t="shared" si="1"/>
        <v>9680.8510638297867</v>
      </c>
      <c r="E13" s="150"/>
      <c r="F13" s="152">
        <f t="shared" si="0"/>
        <v>0</v>
      </c>
      <c r="G13" s="516">
        <v>151</v>
      </c>
    </row>
    <row r="14" spans="1:12">
      <c r="A14" s="147" t="s">
        <v>522</v>
      </c>
      <c r="B14" s="148"/>
      <c r="C14" s="156">
        <v>2</v>
      </c>
      <c r="D14" s="151">
        <f t="shared" si="1"/>
        <v>11063.829787234043</v>
      </c>
      <c r="E14" s="150"/>
      <c r="F14" s="152">
        <f t="shared" si="0"/>
        <v>0</v>
      </c>
      <c r="G14" s="518">
        <f>+G12*G13</f>
        <v>34802737.021276593</v>
      </c>
    </row>
    <row r="15" spans="1:12">
      <c r="A15" s="147" t="s">
        <v>523</v>
      </c>
      <c r="B15" s="157"/>
      <c r="C15" s="156">
        <v>2.1</v>
      </c>
      <c r="D15" s="151">
        <f t="shared" si="1"/>
        <v>11617.021276595746</v>
      </c>
      <c r="E15" s="150"/>
      <c r="F15" s="152">
        <f t="shared" si="0"/>
        <v>0</v>
      </c>
      <c r="G15" s="518">
        <f>+G12</f>
        <v>230481.70212765958</v>
      </c>
    </row>
    <row r="16" spans="1:12">
      <c r="A16" s="147" t="s">
        <v>524</v>
      </c>
      <c r="B16" s="157"/>
      <c r="C16" s="155">
        <v>2.5</v>
      </c>
      <c r="D16" s="158">
        <f t="shared" si="1"/>
        <v>13829.787234042553</v>
      </c>
      <c r="E16" s="150"/>
      <c r="F16" s="152">
        <f t="shared" si="0"/>
        <v>0</v>
      </c>
      <c r="G16" s="518">
        <f>+G14+G15</f>
        <v>35033218.723404251</v>
      </c>
      <c r="H16" s="159">
        <v>1.5</v>
      </c>
      <c r="I16" s="159">
        <v>4.33</v>
      </c>
      <c r="J16" s="159">
        <f>+H16+I16</f>
        <v>5.83</v>
      </c>
      <c r="K16" s="159">
        <v>8</v>
      </c>
      <c r="L16" s="159">
        <f>+J16*K16</f>
        <v>46.64</v>
      </c>
    </row>
    <row r="17" spans="1:12">
      <c r="A17" s="147" t="s">
        <v>525</v>
      </c>
      <c r="B17" s="157"/>
      <c r="C17" s="160">
        <v>0.75</v>
      </c>
      <c r="D17" s="158">
        <f t="shared" si="1"/>
        <v>4148.9361702127662</v>
      </c>
      <c r="E17" s="498"/>
      <c r="F17" s="152">
        <f>E17*D17</f>
        <v>0</v>
      </c>
      <c r="G17" s="517"/>
      <c r="H17" s="7" t="s">
        <v>526</v>
      </c>
      <c r="I17" s="7" t="s">
        <v>527</v>
      </c>
      <c r="J17" s="7" t="s">
        <v>528</v>
      </c>
      <c r="K17" s="7" t="s">
        <v>529</v>
      </c>
      <c r="L17" s="7" t="s">
        <v>530</v>
      </c>
    </row>
    <row r="18" spans="1:12">
      <c r="A18" s="147" t="s">
        <v>531</v>
      </c>
      <c r="B18" s="157"/>
      <c r="C18" s="160"/>
      <c r="D18" s="158">
        <f>$D$8/235</f>
        <v>689.36170212765956</v>
      </c>
      <c r="E18" s="150">
        <v>235</v>
      </c>
      <c r="F18" s="152">
        <f>E18*D18</f>
        <v>162000</v>
      </c>
      <c r="G18" s="517"/>
    </row>
    <row r="19" spans="1:12">
      <c r="A19" s="161"/>
      <c r="B19" s="162" t="s">
        <v>464</v>
      </c>
      <c r="C19" s="163"/>
      <c r="D19" s="164" t="s">
        <v>532</v>
      </c>
      <c r="E19" s="164"/>
      <c r="F19" s="165">
        <f>SUM(F9:F18)</f>
        <v>1462000</v>
      </c>
      <c r="G19" s="517"/>
      <c r="H19" s="166" t="s">
        <v>533</v>
      </c>
    </row>
    <row r="20" spans="1:12">
      <c r="A20" s="161" t="s">
        <v>534</v>
      </c>
      <c r="B20" s="167"/>
      <c r="C20" s="149"/>
      <c r="D20" s="151"/>
      <c r="E20" s="151"/>
      <c r="F20" s="152"/>
      <c r="G20" s="517"/>
      <c r="H20" s="44" t="s">
        <v>535</v>
      </c>
      <c r="I20" s="168">
        <v>5000</v>
      </c>
      <c r="J20" s="168">
        <f>+I20</f>
        <v>5000</v>
      </c>
    </row>
    <row r="21" spans="1:12">
      <c r="A21" s="147" t="s">
        <v>536</v>
      </c>
      <c r="B21" s="148"/>
      <c r="C21" s="169">
        <v>8.3299999999999999E-2</v>
      </c>
      <c r="D21" s="151">
        <f>$F$19*C21</f>
        <v>121784.6</v>
      </c>
      <c r="E21" s="151"/>
      <c r="F21" s="152"/>
      <c r="G21" s="517"/>
      <c r="H21" s="44" t="s">
        <v>537</v>
      </c>
      <c r="I21" s="168">
        <v>35000</v>
      </c>
      <c r="J21" s="168">
        <f>I21</f>
        <v>35000</v>
      </c>
    </row>
    <row r="22" spans="1:12">
      <c r="A22" s="147" t="s">
        <v>538</v>
      </c>
      <c r="B22" s="148"/>
      <c r="C22" s="170">
        <v>0.01</v>
      </c>
      <c r="D22" s="151">
        <f>+F19*C22</f>
        <v>14620</v>
      </c>
      <c r="E22" s="151"/>
      <c r="F22" s="152"/>
      <c r="G22" s="517"/>
      <c r="H22" s="44" t="s">
        <v>539</v>
      </c>
      <c r="I22" s="168">
        <v>80000</v>
      </c>
      <c r="J22" s="168">
        <f>I22*3</f>
        <v>240000</v>
      </c>
      <c r="K22" s="168">
        <f t="shared" ref="K22:K28" si="2">+J22/3</f>
        <v>80000</v>
      </c>
    </row>
    <row r="23" spans="1:12">
      <c r="A23" s="147" t="s">
        <v>540</v>
      </c>
      <c r="B23" s="148"/>
      <c r="C23" s="170">
        <v>8.3299999999999999E-2</v>
      </c>
      <c r="D23" s="151">
        <f>$F$19*C23</f>
        <v>121784.6</v>
      </c>
      <c r="E23" s="151"/>
      <c r="F23" s="152"/>
      <c r="G23" s="517"/>
      <c r="H23" s="44" t="s">
        <v>541</v>
      </c>
      <c r="I23" s="168">
        <v>200</v>
      </c>
      <c r="J23" s="168">
        <f>I23*30*12</f>
        <v>72000</v>
      </c>
      <c r="K23" s="168">
        <f t="shared" si="2"/>
        <v>24000</v>
      </c>
    </row>
    <row r="24" spans="1:12">
      <c r="A24" s="147" t="s">
        <v>542</v>
      </c>
      <c r="B24" s="148"/>
      <c r="C24" s="169">
        <v>4.1700000000000001E-2</v>
      </c>
      <c r="D24" s="151">
        <f>SUM(F9:F17)*C24</f>
        <v>54210</v>
      </c>
      <c r="E24" s="151"/>
      <c r="F24" s="152"/>
      <c r="G24" s="517"/>
      <c r="H24" s="44" t="s">
        <v>543</v>
      </c>
      <c r="I24" s="168">
        <v>1000</v>
      </c>
      <c r="J24" s="168">
        <f>+I24*3*12</f>
        <v>36000</v>
      </c>
      <c r="K24" s="168">
        <f t="shared" si="2"/>
        <v>12000</v>
      </c>
    </row>
    <row r="25" spans="1:12">
      <c r="A25" s="161"/>
      <c r="B25" s="162" t="s">
        <v>544</v>
      </c>
      <c r="C25" s="171">
        <f>SUM(C21:C24)</f>
        <v>0.21829999999999999</v>
      </c>
      <c r="D25" s="172">
        <f>SUM(D21:D24)</f>
        <v>312399.2</v>
      </c>
      <c r="E25" s="164"/>
      <c r="F25" s="165"/>
      <c r="G25" s="517"/>
      <c r="H25" s="44" t="s">
        <v>545</v>
      </c>
      <c r="I25" s="168">
        <v>12000</v>
      </c>
      <c r="J25" s="168">
        <f>I25*3</f>
        <v>36000</v>
      </c>
      <c r="K25" s="168">
        <f t="shared" si="2"/>
        <v>12000</v>
      </c>
    </row>
    <row r="26" spans="1:12">
      <c r="A26" s="147" t="s">
        <v>546</v>
      </c>
      <c r="B26" s="167"/>
      <c r="C26" s="170">
        <v>0.04</v>
      </c>
      <c r="D26" s="151">
        <f>(SUM(F9:F17)*C26)</f>
        <v>52000</v>
      </c>
      <c r="E26" s="164"/>
      <c r="F26" s="165"/>
      <c r="G26" s="517"/>
      <c r="H26" s="44" t="s">
        <v>547</v>
      </c>
      <c r="I26" s="168">
        <v>25000</v>
      </c>
      <c r="J26" s="168">
        <f>I26</f>
        <v>25000</v>
      </c>
      <c r="K26" s="168">
        <f t="shared" si="2"/>
        <v>8333.3333333333339</v>
      </c>
    </row>
    <row r="27" spans="1:12">
      <c r="A27" s="147" t="s">
        <v>548</v>
      </c>
      <c r="B27" s="167"/>
      <c r="C27" s="170">
        <v>0</v>
      </c>
      <c r="D27" s="151">
        <f>(SUM(F9:F17)*C27)</f>
        <v>0</v>
      </c>
      <c r="E27" s="164"/>
      <c r="F27" s="165"/>
      <c r="G27" s="517"/>
      <c r="H27" s="44" t="s">
        <v>549</v>
      </c>
      <c r="I27" s="168">
        <f>3900*3</f>
        <v>11700</v>
      </c>
      <c r="J27" s="168">
        <f>I27*12</f>
        <v>140400</v>
      </c>
      <c r="K27" s="168">
        <f t="shared" si="2"/>
        <v>46800</v>
      </c>
    </row>
    <row r="28" spans="1:12">
      <c r="A28" s="147" t="s">
        <v>550</v>
      </c>
      <c r="B28" s="167"/>
      <c r="C28" s="170">
        <v>0</v>
      </c>
      <c r="D28" s="151">
        <f>(SUM(F9:F17)*C28)</f>
        <v>0</v>
      </c>
      <c r="E28" s="164"/>
      <c r="F28" s="165"/>
      <c r="G28" s="517"/>
      <c r="H28" s="44" t="s">
        <v>551</v>
      </c>
      <c r="I28" s="168">
        <v>35000</v>
      </c>
      <c r="J28" s="168">
        <f>I28</f>
        <v>35000</v>
      </c>
      <c r="K28" s="168">
        <f t="shared" si="2"/>
        <v>11666.666666666666</v>
      </c>
    </row>
    <row r="29" spans="1:12">
      <c r="A29" s="173"/>
      <c r="B29" s="174" t="s">
        <v>552</v>
      </c>
      <c r="C29" s="171">
        <f>SUM(C26:C28)</f>
        <v>0.04</v>
      </c>
      <c r="D29" s="172">
        <f>SUM(D26:D28)</f>
        <v>52000</v>
      </c>
      <c r="E29" s="164" t="s">
        <v>532</v>
      </c>
      <c r="F29" s="165"/>
      <c r="G29" s="517"/>
      <c r="H29" s="166" t="s">
        <v>462</v>
      </c>
      <c r="I29" s="175"/>
      <c r="J29" s="175">
        <f>SUM(J20:J28)</f>
        <v>624400</v>
      </c>
      <c r="K29" s="482">
        <f>SUM(K22:K28)</f>
        <v>194800</v>
      </c>
    </row>
    <row r="30" spans="1:12">
      <c r="A30" s="147" t="s">
        <v>553</v>
      </c>
      <c r="B30" s="148"/>
      <c r="C30" s="170">
        <v>0</v>
      </c>
      <c r="D30" s="151">
        <f>SUM(F9:F17)*C30</f>
        <v>0</v>
      </c>
      <c r="E30" s="151"/>
      <c r="F30" s="152"/>
      <c r="G30" s="517"/>
      <c r="H30" s="176"/>
      <c r="I30" s="177"/>
      <c r="J30" s="175">
        <f>J29/12</f>
        <v>52033.333333333336</v>
      </c>
    </row>
    <row r="31" spans="1:12">
      <c r="A31" s="147" t="s">
        <v>554</v>
      </c>
      <c r="B31" s="148"/>
      <c r="C31" s="170">
        <v>0.12</v>
      </c>
      <c r="D31" s="151">
        <f>SUM(F9:F17)*C31</f>
        <v>156000</v>
      </c>
      <c r="E31" s="151"/>
      <c r="F31" s="152"/>
    </row>
    <row r="32" spans="1:12">
      <c r="A32" s="147" t="s">
        <v>555</v>
      </c>
      <c r="B32" s="148"/>
      <c r="C32" s="178">
        <v>1.044E-2</v>
      </c>
      <c r="D32" s="151">
        <f>SUM(F9:F17)*C32</f>
        <v>13572</v>
      </c>
      <c r="E32" s="151"/>
      <c r="F32" s="152"/>
      <c r="H32" s="178">
        <v>2.436E-2</v>
      </c>
    </row>
    <row r="33" spans="1:10">
      <c r="A33" s="179"/>
      <c r="B33" s="162" t="s">
        <v>556</v>
      </c>
      <c r="C33" s="171">
        <f>SUM(C30:C32)</f>
        <v>0.13044</v>
      </c>
      <c r="D33" s="172">
        <f>SUM(D30:D32)</f>
        <v>169572</v>
      </c>
      <c r="E33" s="151"/>
      <c r="F33" s="152"/>
      <c r="G33" s="180" t="s">
        <v>557</v>
      </c>
      <c r="H33" s="181">
        <v>2066101</v>
      </c>
    </row>
    <row r="34" spans="1:10">
      <c r="A34" s="179"/>
      <c r="B34" s="162" t="s">
        <v>558</v>
      </c>
      <c r="C34" s="171">
        <f>C33+C29+C25</f>
        <v>0.38873999999999997</v>
      </c>
      <c r="D34" s="164">
        <f>D33+D29+D25</f>
        <v>533971.19999999995</v>
      </c>
      <c r="E34" s="151"/>
      <c r="F34" s="152"/>
      <c r="G34" s="180" t="s">
        <v>559</v>
      </c>
      <c r="H34" s="181">
        <v>2014067</v>
      </c>
    </row>
    <row r="35" spans="1:10">
      <c r="A35" s="182"/>
      <c r="B35" s="183" t="s">
        <v>560</v>
      </c>
      <c r="C35" s="184"/>
      <c r="D35" s="185">
        <f>D34+F19</f>
        <v>1995971.2</v>
      </c>
      <c r="E35" s="186"/>
      <c r="F35" s="187"/>
    </row>
    <row r="36" spans="1:10">
      <c r="A36" s="147" t="s">
        <v>561</v>
      </c>
      <c r="B36" s="162"/>
      <c r="C36" s="171"/>
      <c r="D36" s="150">
        <v>0</v>
      </c>
      <c r="E36" s="151"/>
      <c r="F36" s="152"/>
      <c r="G36" s="180" t="s">
        <v>557</v>
      </c>
      <c r="H36" s="181">
        <v>2048005</v>
      </c>
      <c r="I36" s="188">
        <f>+I37</f>
        <v>0.19999999995343387</v>
      </c>
      <c r="J36" s="189" t="s">
        <v>562</v>
      </c>
    </row>
    <row r="37" spans="1:10">
      <c r="A37" s="190"/>
      <c r="B37" s="174" t="s">
        <v>563</v>
      </c>
      <c r="C37" s="171"/>
      <c r="D37" s="164">
        <f>+D35+D36</f>
        <v>1995971.2</v>
      </c>
      <c r="E37" s="151"/>
      <c r="F37" s="152"/>
      <c r="G37" s="180" t="s">
        <v>559</v>
      </c>
      <c r="H37" s="181">
        <v>1995971</v>
      </c>
      <c r="I37" s="191">
        <f>+D37-H37</f>
        <v>0.19999999995343387</v>
      </c>
      <c r="J37" s="192">
        <f>+I37/D37</f>
        <v>1.0020184657646056E-7</v>
      </c>
    </row>
    <row r="38" spans="1:10">
      <c r="A38" s="193" t="s">
        <v>564</v>
      </c>
      <c r="B38" s="183"/>
      <c r="C38" s="171"/>
      <c r="D38" s="164"/>
      <c r="E38" s="151"/>
      <c r="F38" s="152"/>
      <c r="H38" s="43" t="s">
        <v>565</v>
      </c>
      <c r="I38" s="43" t="s">
        <v>566</v>
      </c>
      <c r="J38" s="194" t="s">
        <v>567</v>
      </c>
    </row>
    <row r="39" spans="1:10">
      <c r="A39" s="549" t="s">
        <v>568</v>
      </c>
      <c r="B39" s="550"/>
      <c r="C39" s="149"/>
      <c r="D39" s="195">
        <f>+J30</f>
        <v>52033.333333333336</v>
      </c>
      <c r="E39" s="151"/>
      <c r="F39" s="165">
        <f>D37+D39</f>
        <v>2048004.5333333332</v>
      </c>
      <c r="H39" s="196" t="s">
        <v>569</v>
      </c>
      <c r="I39" s="181"/>
      <c r="J39" s="197"/>
    </row>
    <row r="40" spans="1:10">
      <c r="A40" s="549" t="s">
        <v>570</v>
      </c>
      <c r="B40" s="550"/>
      <c r="C40" s="155"/>
      <c r="D40" s="198"/>
      <c r="E40" s="151"/>
      <c r="F40" s="165">
        <f>F39+D40</f>
        <v>2048004.5333333332</v>
      </c>
      <c r="H40" s="196" t="s">
        <v>571</v>
      </c>
      <c r="I40" s="181"/>
      <c r="J40" s="197"/>
    </row>
    <row r="41" spans="1:10">
      <c r="A41" s="549" t="s">
        <v>572</v>
      </c>
      <c r="B41" s="550"/>
      <c r="C41" s="149"/>
      <c r="D41" s="198"/>
      <c r="E41" s="151"/>
      <c r="F41" s="165">
        <f>F40+D41</f>
        <v>2048004.5333333332</v>
      </c>
      <c r="H41" s="189" t="s">
        <v>573</v>
      </c>
      <c r="I41" s="188">
        <f>+I37*I39*I40</f>
        <v>0</v>
      </c>
      <c r="J41" s="197"/>
    </row>
    <row r="42" spans="1:10">
      <c r="A42" s="147" t="s">
        <v>574</v>
      </c>
      <c r="B42" s="148"/>
      <c r="C42" s="149"/>
      <c r="D42" s="199"/>
      <c r="E42" s="151"/>
      <c r="F42" s="165">
        <f>F41+D42</f>
        <v>2048004.5333333332</v>
      </c>
      <c r="H42" s="189" t="s">
        <v>575</v>
      </c>
      <c r="I42" s="181">
        <f>+I37</f>
        <v>0.19999999995343387</v>
      </c>
      <c r="J42" s="197"/>
    </row>
    <row r="43" spans="1:10">
      <c r="A43" s="193"/>
      <c r="B43" s="200" t="s">
        <v>576</v>
      </c>
      <c r="C43" s="201"/>
      <c r="D43" s="185">
        <f>SUM(D37:D42)</f>
        <v>2048004.5333333332</v>
      </c>
      <c r="E43" s="186"/>
      <c r="F43" s="187"/>
      <c r="H43" s="196" t="s">
        <v>577</v>
      </c>
      <c r="I43" s="181"/>
      <c r="J43" s="197"/>
    </row>
    <row r="44" spans="1:10">
      <c r="A44" s="147" t="s">
        <v>578</v>
      </c>
      <c r="B44" s="167"/>
      <c r="C44" s="202">
        <v>0.1</v>
      </c>
      <c r="D44" s="151">
        <f>D43*C44</f>
        <v>204800.45333333334</v>
      </c>
      <c r="E44" s="151"/>
      <c r="F44" s="152"/>
      <c r="H44" s="196" t="s">
        <v>571</v>
      </c>
      <c r="I44" s="181"/>
      <c r="J44" s="197"/>
    </row>
    <row r="45" spans="1:10">
      <c r="A45" s="203" t="s">
        <v>579</v>
      </c>
      <c r="B45" s="204"/>
      <c r="C45" s="205"/>
      <c r="D45" s="185">
        <f>SUM(D43:D44)</f>
        <v>2252804.9866666663</v>
      </c>
      <c r="E45" s="205"/>
      <c r="F45" s="206"/>
      <c r="H45" s="189" t="s">
        <v>580</v>
      </c>
      <c r="I45" s="188">
        <f>+I42*I43*I44</f>
        <v>0</v>
      </c>
      <c r="J45" s="197"/>
    </row>
    <row r="46" spans="1:10">
      <c r="A46" s="147" t="s">
        <v>482</v>
      </c>
      <c r="B46" s="167"/>
      <c r="C46" s="202">
        <v>0.19</v>
      </c>
      <c r="D46" s="151">
        <f>(D43*10%)*19%</f>
        <v>38912.086133333338</v>
      </c>
      <c r="E46" s="155"/>
      <c r="F46" s="152"/>
      <c r="H46" s="189" t="s">
        <v>581</v>
      </c>
      <c r="I46" s="188">
        <f>+I41+I45</f>
        <v>0</v>
      </c>
      <c r="J46" s="197"/>
    </row>
    <row r="47" spans="1:10" ht="15.75" thickBot="1">
      <c r="A47" s="207"/>
      <c r="B47" s="208" t="s">
        <v>582</v>
      </c>
      <c r="C47" s="209"/>
      <c r="D47" s="210">
        <f>D45+D46</f>
        <v>2291717.0727999997</v>
      </c>
      <c r="E47" s="211"/>
      <c r="F47" s="212"/>
    </row>
    <row r="50" spans="1:6">
      <c r="A50" s="213" t="s">
        <v>583</v>
      </c>
      <c r="B50" s="556">
        <v>44985</v>
      </c>
      <c r="C50" s="556"/>
      <c r="D50" s="556"/>
      <c r="E50" s="556"/>
      <c r="F50" s="556"/>
    </row>
    <row r="51" spans="1:6">
      <c r="A51" s="213" t="s">
        <v>584</v>
      </c>
      <c r="B51" s="557" t="s">
        <v>602</v>
      </c>
      <c r="C51" s="558"/>
      <c r="D51" s="558"/>
      <c r="E51" s="558"/>
      <c r="F51" s="559"/>
    </row>
    <row r="52" spans="1:6">
      <c r="A52" s="44" t="s">
        <v>585</v>
      </c>
      <c r="B52" s="560" t="s">
        <v>508</v>
      </c>
      <c r="C52" s="560"/>
      <c r="D52" s="560"/>
      <c r="E52" s="560"/>
      <c r="F52" s="560"/>
    </row>
    <row r="53" spans="1:6">
      <c r="A53" s="213" t="s">
        <v>586</v>
      </c>
      <c r="B53" s="560" t="s">
        <v>603</v>
      </c>
      <c r="C53" s="560"/>
      <c r="D53" s="560"/>
      <c r="E53" s="560"/>
      <c r="F53" s="560"/>
    </row>
    <row r="55" spans="1:6" ht="30">
      <c r="A55" s="316" t="s">
        <v>587</v>
      </c>
      <c r="B55" s="316" t="s">
        <v>490</v>
      </c>
      <c r="C55" s="316" t="s">
        <v>588</v>
      </c>
      <c r="D55" s="316" t="s">
        <v>2</v>
      </c>
      <c r="E55" s="316" t="s">
        <v>482</v>
      </c>
      <c r="F55" s="316" t="s">
        <v>589</v>
      </c>
    </row>
    <row r="56" spans="1:6">
      <c r="A56" s="220" t="s">
        <v>1082</v>
      </c>
      <c r="B56" s="221">
        <v>1</v>
      </c>
      <c r="C56" s="222">
        <v>2409077</v>
      </c>
      <c r="D56" s="222">
        <f>+C56*10%</f>
        <v>240907.7</v>
      </c>
      <c r="E56" s="222">
        <f>+(C56*10%)*19%</f>
        <v>45772.463000000003</v>
      </c>
      <c r="F56" s="222">
        <f>(C56+D56+E56)*B56</f>
        <v>2695757.1630000002</v>
      </c>
    </row>
    <row r="57" spans="1:6">
      <c r="A57" s="226" t="s">
        <v>1083</v>
      </c>
      <c r="B57" s="227">
        <v>1</v>
      </c>
      <c r="C57" s="228">
        <v>3167329</v>
      </c>
      <c r="D57" s="228">
        <f t="shared" ref="D57:D59" si="3">+C57*10%</f>
        <v>316732.90000000002</v>
      </c>
      <c r="E57" s="228">
        <f t="shared" ref="E57:E59" si="4">+(C57*10%)*19%</f>
        <v>60179.251000000004</v>
      </c>
      <c r="F57" s="228">
        <f t="shared" ref="F57:F59" si="5">(C57+D57+E57)*B57</f>
        <v>3544241.1510000001</v>
      </c>
    </row>
    <row r="58" spans="1:6">
      <c r="A58" s="223" t="s">
        <v>1085</v>
      </c>
      <c r="B58" s="224">
        <v>1</v>
      </c>
      <c r="C58" s="225">
        <v>2731553</v>
      </c>
      <c r="D58" s="225">
        <f t="shared" si="3"/>
        <v>273155.3</v>
      </c>
      <c r="E58" s="225">
        <f t="shared" si="4"/>
        <v>51899.506999999998</v>
      </c>
      <c r="F58" s="225">
        <f t="shared" si="5"/>
        <v>3056607.807</v>
      </c>
    </row>
    <row r="59" spans="1:6">
      <c r="A59" s="238" t="s">
        <v>1084</v>
      </c>
      <c r="B59" s="239">
        <v>1</v>
      </c>
      <c r="C59" s="240">
        <v>3489805</v>
      </c>
      <c r="D59" s="240">
        <f t="shared" si="3"/>
        <v>348980.5</v>
      </c>
      <c r="E59" s="240">
        <f t="shared" si="4"/>
        <v>66306.294999999998</v>
      </c>
      <c r="F59" s="240">
        <f t="shared" si="5"/>
        <v>3905091.7949999999</v>
      </c>
    </row>
    <row r="60" spans="1:6">
      <c r="A60" s="229" t="s">
        <v>1086</v>
      </c>
      <c r="B60" s="230">
        <v>1</v>
      </c>
      <c r="C60" s="231">
        <v>2048005</v>
      </c>
      <c r="D60" s="231">
        <f>+C60*10%</f>
        <v>204800.5</v>
      </c>
      <c r="E60" s="231">
        <f>+(C60*10%)*19%</f>
        <v>38912.095000000001</v>
      </c>
      <c r="F60" s="231">
        <f>(C60+D60+E60)*B60</f>
        <v>2291717.5950000002</v>
      </c>
    </row>
    <row r="61" spans="1:6">
      <c r="A61" s="232" t="s">
        <v>1087</v>
      </c>
      <c r="B61" s="233">
        <v>1</v>
      </c>
      <c r="C61" s="234">
        <v>2679881</v>
      </c>
      <c r="D61" s="234" cm="1">
        <f t="array" aca="1" ref="D61" ca="1">+C61*1+D61:D640%</f>
        <v>0</v>
      </c>
      <c r="E61" s="234">
        <f t="shared" ref="E61:E95" si="6">+(C61*10%)*19%</f>
        <v>50917.739000000009</v>
      </c>
      <c r="F61" s="234">
        <f t="shared" ref="F61:F95" ca="1" si="7">(C61+D61+E61)*B61</f>
        <v>2666562.4530000002</v>
      </c>
    </row>
    <row r="62" spans="1:6">
      <c r="A62" s="235" t="s">
        <v>1088</v>
      </c>
      <c r="B62" s="236">
        <v>1</v>
      </c>
      <c r="C62" s="237">
        <v>2316735</v>
      </c>
      <c r="D62" s="237">
        <f t="shared" ref="D62:D95" si="8">+C62*10%</f>
        <v>231673.5</v>
      </c>
      <c r="E62" s="237">
        <f t="shared" si="6"/>
        <v>44017.965000000004</v>
      </c>
      <c r="F62" s="237">
        <f t="shared" si="7"/>
        <v>2592426.4649999999</v>
      </c>
    </row>
    <row r="63" spans="1:6">
      <c r="A63" s="241" t="s">
        <v>1089</v>
      </c>
      <c r="B63" s="242">
        <v>1</v>
      </c>
      <c r="C63" s="243">
        <v>2948611</v>
      </c>
      <c r="D63" s="243">
        <f t="shared" si="8"/>
        <v>294861.10000000003</v>
      </c>
      <c r="E63" s="243">
        <f t="shared" si="6"/>
        <v>56023.609000000004</v>
      </c>
      <c r="F63" s="243">
        <f t="shared" si="7"/>
        <v>3299495.7090000003</v>
      </c>
    </row>
    <row r="64" spans="1:6">
      <c r="A64" s="244" t="s">
        <v>1090</v>
      </c>
      <c r="B64" s="245">
        <v>1</v>
      </c>
      <c r="C64" s="246">
        <f>+C60+150000</f>
        <v>2198005</v>
      </c>
      <c r="D64" s="246">
        <f t="shared" si="8"/>
        <v>219800.5</v>
      </c>
      <c r="E64" s="246">
        <f t="shared" si="6"/>
        <v>41762.095000000001</v>
      </c>
      <c r="F64" s="246">
        <f t="shared" si="7"/>
        <v>2459567.5950000002</v>
      </c>
    </row>
    <row r="65" spans="1:6">
      <c r="A65" s="247" t="s">
        <v>1091</v>
      </c>
      <c r="B65" s="248">
        <v>1</v>
      </c>
      <c r="C65" s="249">
        <f>+C61+150000</f>
        <v>2829881</v>
      </c>
      <c r="D65" s="249">
        <f t="shared" si="8"/>
        <v>282988.10000000003</v>
      </c>
      <c r="E65" s="249">
        <f t="shared" si="6"/>
        <v>53767.739000000009</v>
      </c>
      <c r="F65" s="249">
        <f t="shared" si="7"/>
        <v>3166636.8390000002</v>
      </c>
    </row>
    <row r="66" spans="1:6">
      <c r="A66" s="250" t="s">
        <v>1092</v>
      </c>
      <c r="B66" s="251">
        <v>1</v>
      </c>
      <c r="C66" s="252">
        <f>+C62+150000</f>
        <v>2466735</v>
      </c>
      <c r="D66" s="252">
        <f t="shared" si="8"/>
        <v>246673.5</v>
      </c>
      <c r="E66" s="252">
        <f t="shared" si="6"/>
        <v>46867.965000000004</v>
      </c>
      <c r="F66" s="252">
        <f t="shared" si="7"/>
        <v>2760276.4649999999</v>
      </c>
    </row>
    <row r="67" spans="1:6">
      <c r="A67" s="253" t="s">
        <v>1093</v>
      </c>
      <c r="B67" s="254">
        <v>1</v>
      </c>
      <c r="C67" s="255">
        <f>+C63+150000</f>
        <v>3098611</v>
      </c>
      <c r="D67" s="255">
        <f t="shared" si="8"/>
        <v>309861.10000000003</v>
      </c>
      <c r="E67" s="255">
        <f t="shared" si="6"/>
        <v>58873.609000000004</v>
      </c>
      <c r="F67" s="255">
        <f t="shared" si="7"/>
        <v>3467345.7090000003</v>
      </c>
    </row>
    <row r="68" spans="1:6">
      <c r="A68" s="256" t="s">
        <v>1094</v>
      </c>
      <c r="B68" s="257">
        <v>1</v>
      </c>
      <c r="C68" s="258">
        <f>+C60+200000</f>
        <v>2248005</v>
      </c>
      <c r="D68" s="258">
        <f t="shared" si="8"/>
        <v>224800.5</v>
      </c>
      <c r="E68" s="258">
        <f t="shared" si="6"/>
        <v>42712.095000000001</v>
      </c>
      <c r="F68" s="258">
        <f t="shared" si="7"/>
        <v>2515517.5950000002</v>
      </c>
    </row>
    <row r="69" spans="1:6">
      <c r="A69" s="259" t="s">
        <v>1095</v>
      </c>
      <c r="B69" s="260">
        <v>1</v>
      </c>
      <c r="C69" s="261">
        <f>+C61+200000</f>
        <v>2879881</v>
      </c>
      <c r="D69" s="261">
        <f t="shared" si="8"/>
        <v>287988.10000000003</v>
      </c>
      <c r="E69" s="261">
        <f t="shared" si="6"/>
        <v>54717.739000000009</v>
      </c>
      <c r="F69" s="261">
        <f t="shared" si="7"/>
        <v>3222586.8390000002</v>
      </c>
    </row>
    <row r="70" spans="1:6">
      <c r="A70" s="262" t="s">
        <v>1096</v>
      </c>
      <c r="B70" s="263">
        <v>1</v>
      </c>
      <c r="C70" s="264">
        <f>+C62+200000</f>
        <v>2516735</v>
      </c>
      <c r="D70" s="264">
        <f t="shared" si="8"/>
        <v>251673.5</v>
      </c>
      <c r="E70" s="264">
        <f t="shared" si="6"/>
        <v>47817.965000000004</v>
      </c>
      <c r="F70" s="264">
        <f t="shared" si="7"/>
        <v>2816226.4649999999</v>
      </c>
    </row>
    <row r="71" spans="1:6">
      <c r="A71" s="265" t="s">
        <v>1097</v>
      </c>
      <c r="B71" s="266">
        <v>1</v>
      </c>
      <c r="C71" s="267">
        <f>+C63+200000</f>
        <v>3148611</v>
      </c>
      <c r="D71" s="267">
        <f t="shared" si="8"/>
        <v>314861.10000000003</v>
      </c>
      <c r="E71" s="267">
        <f t="shared" si="6"/>
        <v>59823.609000000004</v>
      </c>
      <c r="F71" s="267">
        <f t="shared" si="7"/>
        <v>3523295.7090000003</v>
      </c>
    </row>
    <row r="72" spans="1:6">
      <c r="A72" s="220" t="s">
        <v>1098</v>
      </c>
      <c r="B72" s="221">
        <v>1</v>
      </c>
      <c r="C72" s="222">
        <f>+C56</f>
        <v>2409077</v>
      </c>
      <c r="D72" s="222">
        <f t="shared" si="8"/>
        <v>240907.7</v>
      </c>
      <c r="E72" s="222">
        <f t="shared" si="6"/>
        <v>45772.463000000003</v>
      </c>
      <c r="F72" s="222">
        <f t="shared" si="7"/>
        <v>2695757.1630000002</v>
      </c>
    </row>
    <row r="73" spans="1:6">
      <c r="A73" s="226" t="s">
        <v>1099</v>
      </c>
      <c r="B73" s="227">
        <v>1</v>
      </c>
      <c r="C73" s="228">
        <f>+C57</f>
        <v>3167329</v>
      </c>
      <c r="D73" s="228">
        <f t="shared" si="8"/>
        <v>316732.90000000002</v>
      </c>
      <c r="E73" s="228">
        <f t="shared" si="6"/>
        <v>60179.251000000004</v>
      </c>
      <c r="F73" s="228">
        <f t="shared" si="7"/>
        <v>3544241.1510000001</v>
      </c>
    </row>
    <row r="74" spans="1:6">
      <c r="A74" s="223" t="s">
        <v>1100</v>
      </c>
      <c r="B74" s="224">
        <v>1</v>
      </c>
      <c r="C74" s="225">
        <f>+C58</f>
        <v>2731553</v>
      </c>
      <c r="D74" s="225">
        <f t="shared" si="8"/>
        <v>273155.3</v>
      </c>
      <c r="E74" s="225">
        <f t="shared" si="6"/>
        <v>51899.506999999998</v>
      </c>
      <c r="F74" s="225">
        <f t="shared" si="7"/>
        <v>3056607.807</v>
      </c>
    </row>
    <row r="75" spans="1:6">
      <c r="A75" s="238" t="s">
        <v>1101</v>
      </c>
      <c r="B75" s="239">
        <v>1</v>
      </c>
      <c r="C75" s="240">
        <f>+C59</f>
        <v>3489805</v>
      </c>
      <c r="D75" s="240">
        <f t="shared" si="8"/>
        <v>348980.5</v>
      </c>
      <c r="E75" s="240">
        <f t="shared" si="6"/>
        <v>66306.294999999998</v>
      </c>
      <c r="F75" s="240">
        <f t="shared" si="7"/>
        <v>3905091.7949999999</v>
      </c>
    </row>
    <row r="76" spans="1:6">
      <c r="A76" s="317" t="s">
        <v>1102</v>
      </c>
      <c r="B76" s="318">
        <v>1</v>
      </c>
      <c r="C76" s="319">
        <f>+C72+50000</f>
        <v>2459077</v>
      </c>
      <c r="D76" s="319">
        <f>+C76*0.1</f>
        <v>245907.7</v>
      </c>
      <c r="E76" s="319">
        <f>+D76*0.19</f>
        <v>46722.463000000003</v>
      </c>
      <c r="F76" s="319">
        <f>+C76+D76+E76</f>
        <v>2751707.1630000002</v>
      </c>
    </row>
    <row r="77" spans="1:6">
      <c r="A77" s="320" t="s">
        <v>1103</v>
      </c>
      <c r="B77" s="321">
        <v>1</v>
      </c>
      <c r="C77" s="322">
        <f>+C73+50000</f>
        <v>3217329</v>
      </c>
      <c r="D77" s="322">
        <f>+C77*0.1</f>
        <v>321732.90000000002</v>
      </c>
      <c r="E77" s="322">
        <f>+D77*0.19</f>
        <v>61129.251000000004</v>
      </c>
      <c r="F77" s="322">
        <f>+C77+D77+E77</f>
        <v>3600191.1510000001</v>
      </c>
    </row>
    <row r="78" spans="1:6">
      <c r="A78" s="323" t="s">
        <v>1104</v>
      </c>
      <c r="B78" s="324">
        <v>1</v>
      </c>
      <c r="C78" s="325">
        <f>+C74+50000</f>
        <v>2781553</v>
      </c>
      <c r="D78" s="325">
        <f>+C78*0.1</f>
        <v>278155.3</v>
      </c>
      <c r="E78" s="325">
        <f>+D78*0.19</f>
        <v>52849.506999999998</v>
      </c>
      <c r="F78" s="325">
        <f>+C78+D78+E78</f>
        <v>3112557.807</v>
      </c>
    </row>
    <row r="79" spans="1:6">
      <c r="A79" s="326" t="s">
        <v>1105</v>
      </c>
      <c r="B79" s="327">
        <v>1</v>
      </c>
      <c r="C79" s="328">
        <f>+C75+50000</f>
        <v>3539805</v>
      </c>
      <c r="D79" s="328">
        <f>+C79*0.1</f>
        <v>353980.5</v>
      </c>
      <c r="E79" s="328">
        <f>+D79*0.19</f>
        <v>67256.294999999998</v>
      </c>
      <c r="F79" s="328">
        <f>+C79+D79+E79</f>
        <v>3961041.7949999999</v>
      </c>
    </row>
    <row r="80" spans="1:6">
      <c r="A80" s="268" t="s">
        <v>1106</v>
      </c>
      <c r="B80" s="269">
        <v>1</v>
      </c>
      <c r="C80" s="270">
        <f>+C60+100000</f>
        <v>2148005</v>
      </c>
      <c r="D80" s="270">
        <f t="shared" si="8"/>
        <v>214800.5</v>
      </c>
      <c r="E80" s="270">
        <f t="shared" si="6"/>
        <v>40812.095000000001</v>
      </c>
      <c r="F80" s="270">
        <f t="shared" si="7"/>
        <v>2403617.5950000002</v>
      </c>
    </row>
    <row r="81" spans="1:6">
      <c r="A81" s="271" t="s">
        <v>1107</v>
      </c>
      <c r="B81" s="272">
        <v>1</v>
      </c>
      <c r="C81" s="273">
        <f>+C61+100000</f>
        <v>2779881</v>
      </c>
      <c r="D81" s="273">
        <f t="shared" si="8"/>
        <v>277988.10000000003</v>
      </c>
      <c r="E81" s="273">
        <f t="shared" si="6"/>
        <v>52817.739000000009</v>
      </c>
      <c r="F81" s="273">
        <f t="shared" si="7"/>
        <v>3110686.8390000002</v>
      </c>
    </row>
    <row r="82" spans="1:6">
      <c r="A82" s="274" t="s">
        <v>1108</v>
      </c>
      <c r="B82" s="275">
        <v>1</v>
      </c>
      <c r="C82" s="276">
        <f>+C62+100000</f>
        <v>2416735</v>
      </c>
      <c r="D82" s="276">
        <f t="shared" si="8"/>
        <v>241673.5</v>
      </c>
      <c r="E82" s="276">
        <f t="shared" si="6"/>
        <v>45917.965000000004</v>
      </c>
      <c r="F82" s="276">
        <f t="shared" si="7"/>
        <v>2704326.4649999999</v>
      </c>
    </row>
    <row r="83" spans="1:6">
      <c r="A83" s="277" t="s">
        <v>1109</v>
      </c>
      <c r="B83" s="278">
        <v>1</v>
      </c>
      <c r="C83" s="279">
        <f>+C63+100000</f>
        <v>3048611</v>
      </c>
      <c r="D83" s="279">
        <f t="shared" si="8"/>
        <v>304861.10000000003</v>
      </c>
      <c r="E83" s="279">
        <f t="shared" si="6"/>
        <v>57923.609000000004</v>
      </c>
      <c r="F83" s="279">
        <f t="shared" si="7"/>
        <v>3411395.7090000003</v>
      </c>
    </row>
    <row r="84" spans="1:6">
      <c r="A84" s="280" t="s">
        <v>1110</v>
      </c>
      <c r="B84" s="281">
        <v>1</v>
      </c>
      <c r="C84" s="282">
        <f>+C60+150000</f>
        <v>2198005</v>
      </c>
      <c r="D84" s="282">
        <f t="shared" si="8"/>
        <v>219800.5</v>
      </c>
      <c r="E84" s="282">
        <f t="shared" si="6"/>
        <v>41762.095000000001</v>
      </c>
      <c r="F84" s="282">
        <f t="shared" si="7"/>
        <v>2459567.5950000002</v>
      </c>
    </row>
    <row r="85" spans="1:6">
      <c r="A85" s="283" t="s">
        <v>1111</v>
      </c>
      <c r="B85" s="9">
        <v>1</v>
      </c>
      <c r="C85" s="284">
        <f>+C61+150000</f>
        <v>2829881</v>
      </c>
      <c r="D85" s="284">
        <f t="shared" si="8"/>
        <v>282988.10000000003</v>
      </c>
      <c r="E85" s="284">
        <f t="shared" si="6"/>
        <v>53767.739000000009</v>
      </c>
      <c r="F85" s="284">
        <f t="shared" si="7"/>
        <v>3166636.8390000002</v>
      </c>
    </row>
    <row r="86" spans="1:6">
      <c r="A86" s="285" t="s">
        <v>1112</v>
      </c>
      <c r="B86" s="286">
        <v>1</v>
      </c>
      <c r="C86" s="287">
        <f>+C62+150000</f>
        <v>2466735</v>
      </c>
      <c r="D86" s="287">
        <f t="shared" si="8"/>
        <v>246673.5</v>
      </c>
      <c r="E86" s="287">
        <f t="shared" si="6"/>
        <v>46867.965000000004</v>
      </c>
      <c r="F86" s="287">
        <f t="shared" si="7"/>
        <v>2760276.4649999999</v>
      </c>
    </row>
    <row r="87" spans="1:6">
      <c r="A87" s="288" t="s">
        <v>1113</v>
      </c>
      <c r="B87" s="289">
        <v>1</v>
      </c>
      <c r="C87" s="290">
        <f>+C63+150000</f>
        <v>3098611</v>
      </c>
      <c r="D87" s="290">
        <f t="shared" si="8"/>
        <v>309861.10000000003</v>
      </c>
      <c r="E87" s="290">
        <f t="shared" si="6"/>
        <v>58873.609000000004</v>
      </c>
      <c r="F87" s="290">
        <f t="shared" si="7"/>
        <v>3467345.7090000003</v>
      </c>
    </row>
    <row r="88" spans="1:6">
      <c r="A88" s="291" t="s">
        <v>1114</v>
      </c>
      <c r="B88" s="292">
        <v>1</v>
      </c>
      <c r="C88" s="293">
        <f>+C60+300000</f>
        <v>2348005</v>
      </c>
      <c r="D88" s="293">
        <f t="shared" si="8"/>
        <v>234800.5</v>
      </c>
      <c r="E88" s="293">
        <f t="shared" si="6"/>
        <v>44612.095000000001</v>
      </c>
      <c r="F88" s="293">
        <f t="shared" si="7"/>
        <v>2627417.5950000002</v>
      </c>
    </row>
    <row r="89" spans="1:6">
      <c r="A89" s="294" t="s">
        <v>1115</v>
      </c>
      <c r="B89" s="295">
        <v>1</v>
      </c>
      <c r="C89" s="296">
        <f>+C61+300000</f>
        <v>2979881</v>
      </c>
      <c r="D89" s="296">
        <f t="shared" si="8"/>
        <v>297988.10000000003</v>
      </c>
      <c r="E89" s="296">
        <f t="shared" si="6"/>
        <v>56617.739000000009</v>
      </c>
      <c r="F89" s="296">
        <f t="shared" si="7"/>
        <v>3334486.8390000002</v>
      </c>
    </row>
    <row r="90" spans="1:6">
      <c r="A90" s="297" t="s">
        <v>1116</v>
      </c>
      <c r="B90" s="298">
        <v>1</v>
      </c>
      <c r="C90" s="299">
        <f>+C62+300000</f>
        <v>2616735</v>
      </c>
      <c r="D90" s="299">
        <f t="shared" si="8"/>
        <v>261673.5</v>
      </c>
      <c r="E90" s="299">
        <f t="shared" si="6"/>
        <v>49717.965000000004</v>
      </c>
      <c r="F90" s="299">
        <f t="shared" si="7"/>
        <v>2928126.4649999999</v>
      </c>
    </row>
    <row r="91" spans="1:6">
      <c r="A91" s="300" t="s">
        <v>1117</v>
      </c>
      <c r="B91" s="301">
        <v>1</v>
      </c>
      <c r="C91" s="302">
        <f>+C63+300000</f>
        <v>3248611</v>
      </c>
      <c r="D91" s="302">
        <f t="shared" si="8"/>
        <v>324861.10000000003</v>
      </c>
      <c r="E91" s="302">
        <f t="shared" si="6"/>
        <v>61723.609000000004</v>
      </c>
      <c r="F91" s="302">
        <f t="shared" si="7"/>
        <v>3635195.7090000003</v>
      </c>
    </row>
    <row r="92" spans="1:6">
      <c r="A92" s="303" t="s">
        <v>1118</v>
      </c>
      <c r="B92" s="304">
        <v>1</v>
      </c>
      <c r="C92" s="305">
        <f>+C88</f>
        <v>2348005</v>
      </c>
      <c r="D92" s="305">
        <f t="shared" si="8"/>
        <v>234800.5</v>
      </c>
      <c r="E92" s="305">
        <f t="shared" si="6"/>
        <v>44612.095000000001</v>
      </c>
      <c r="F92" s="305">
        <f t="shared" si="7"/>
        <v>2627417.5950000002</v>
      </c>
    </row>
    <row r="93" spans="1:6">
      <c r="A93" s="306" t="s">
        <v>1119</v>
      </c>
      <c r="B93" s="307">
        <v>1</v>
      </c>
      <c r="C93" s="308">
        <f>+C89</f>
        <v>2979881</v>
      </c>
      <c r="D93" s="308">
        <f t="shared" si="8"/>
        <v>297988.10000000003</v>
      </c>
      <c r="E93" s="308">
        <f t="shared" si="6"/>
        <v>56617.739000000009</v>
      </c>
      <c r="F93" s="308">
        <f t="shared" si="7"/>
        <v>3334486.8390000002</v>
      </c>
    </row>
    <row r="94" spans="1:6">
      <c r="A94" s="309" t="s">
        <v>1120</v>
      </c>
      <c r="B94" s="310">
        <v>1</v>
      </c>
      <c r="C94" s="311">
        <f>+C90</f>
        <v>2616735</v>
      </c>
      <c r="D94" s="311">
        <f t="shared" si="8"/>
        <v>261673.5</v>
      </c>
      <c r="E94" s="311">
        <f t="shared" si="6"/>
        <v>49717.965000000004</v>
      </c>
      <c r="F94" s="311">
        <f t="shared" si="7"/>
        <v>2928126.4649999999</v>
      </c>
    </row>
    <row r="95" spans="1:6">
      <c r="A95" s="312" t="s">
        <v>1121</v>
      </c>
      <c r="B95" s="313">
        <v>1</v>
      </c>
      <c r="C95" s="314">
        <f>+C91</f>
        <v>3248611</v>
      </c>
      <c r="D95" s="314">
        <f t="shared" si="8"/>
        <v>324861.10000000003</v>
      </c>
      <c r="E95" s="314">
        <f t="shared" si="6"/>
        <v>61723.609000000004</v>
      </c>
      <c r="F95" s="314">
        <f t="shared" si="7"/>
        <v>3635195.7090000003</v>
      </c>
    </row>
    <row r="97" spans="1:6" ht="30">
      <c r="A97" s="315" t="s">
        <v>587</v>
      </c>
      <c r="B97" s="315" t="s">
        <v>490</v>
      </c>
      <c r="C97" s="315" t="s">
        <v>588</v>
      </c>
      <c r="D97" s="315" t="s">
        <v>2</v>
      </c>
      <c r="E97" s="315" t="s">
        <v>482</v>
      </c>
      <c r="F97" s="315" t="s">
        <v>589</v>
      </c>
    </row>
    <row r="98" spans="1:6">
      <c r="A98" s="69" t="s">
        <v>5</v>
      </c>
      <c r="B98" s="329">
        <v>1</v>
      </c>
      <c r="C98" s="330">
        <v>1149165</v>
      </c>
      <c r="D98" s="330">
        <f>+C98*0.1</f>
        <v>114916.5</v>
      </c>
      <c r="E98" s="330">
        <f>+D98*0.19</f>
        <v>21834.135000000002</v>
      </c>
      <c r="F98" s="330">
        <f>+C98+D98+E98</f>
        <v>1285915.635</v>
      </c>
    </row>
    <row r="99" spans="1:6">
      <c r="A99" s="331" t="s">
        <v>6</v>
      </c>
      <c r="B99" s="230">
        <v>1</v>
      </c>
      <c r="C99" s="231">
        <f>+C98+75000</f>
        <v>1224165</v>
      </c>
      <c r="D99" s="231">
        <f t="shared" ref="D99:D106" si="9">+C99*0.1</f>
        <v>122416.5</v>
      </c>
      <c r="E99" s="231">
        <f t="shared" ref="E99:E106" si="10">+D99*0.19</f>
        <v>23259.135000000002</v>
      </c>
      <c r="F99" s="231">
        <f t="shared" ref="F99:F106" si="11">+C99+D99+E99</f>
        <v>1369840.635</v>
      </c>
    </row>
    <row r="100" spans="1:6">
      <c r="A100" s="69" t="s">
        <v>7</v>
      </c>
      <c r="B100" s="329">
        <v>1</v>
      </c>
      <c r="C100" s="330">
        <f>+C98</f>
        <v>1149165</v>
      </c>
      <c r="D100" s="330">
        <f t="shared" si="9"/>
        <v>114916.5</v>
      </c>
      <c r="E100" s="330">
        <f t="shared" si="10"/>
        <v>21834.135000000002</v>
      </c>
      <c r="F100" s="330">
        <f t="shared" si="11"/>
        <v>1285915.635</v>
      </c>
    </row>
    <row r="101" spans="1:6">
      <c r="A101" s="332" t="s">
        <v>19</v>
      </c>
      <c r="B101" s="233">
        <v>1</v>
      </c>
      <c r="C101" s="234">
        <f>+C98+150000</f>
        <v>1299165</v>
      </c>
      <c r="D101" s="234">
        <f t="shared" si="9"/>
        <v>129916.5</v>
      </c>
      <c r="E101" s="234">
        <f t="shared" si="10"/>
        <v>24684.135000000002</v>
      </c>
      <c r="F101" s="234">
        <f t="shared" si="11"/>
        <v>1453765.635</v>
      </c>
    </row>
    <row r="102" spans="1:6">
      <c r="A102" s="69" t="s">
        <v>9</v>
      </c>
      <c r="B102" s="329">
        <v>1</v>
      </c>
      <c r="C102" s="330">
        <f>+C98+50000</f>
        <v>1199165</v>
      </c>
      <c r="D102" s="330">
        <f t="shared" si="9"/>
        <v>119916.5</v>
      </c>
      <c r="E102" s="330">
        <f t="shared" si="10"/>
        <v>22784.135000000002</v>
      </c>
      <c r="F102" s="330">
        <f t="shared" si="11"/>
        <v>1341865.635</v>
      </c>
    </row>
    <row r="103" spans="1:6" ht="27">
      <c r="A103" s="333" t="s">
        <v>438</v>
      </c>
      <c r="B103" s="334">
        <v>1</v>
      </c>
      <c r="C103" s="237">
        <f>+C98+100000</f>
        <v>1249165</v>
      </c>
      <c r="D103" s="237">
        <f t="shared" si="9"/>
        <v>124916.5</v>
      </c>
      <c r="E103" s="237">
        <f t="shared" si="10"/>
        <v>23734.135000000002</v>
      </c>
      <c r="F103" s="237">
        <f t="shared" si="11"/>
        <v>1397815.635</v>
      </c>
    </row>
    <row r="104" spans="1:6">
      <c r="A104" s="69" t="s">
        <v>439</v>
      </c>
      <c r="B104" s="329">
        <v>1</v>
      </c>
      <c r="C104" s="330">
        <f>+C98+25000</f>
        <v>1174165</v>
      </c>
      <c r="D104" s="330">
        <f t="shared" si="9"/>
        <v>117416.5</v>
      </c>
      <c r="E104" s="330">
        <f t="shared" si="10"/>
        <v>22309.135000000002</v>
      </c>
      <c r="F104" s="330">
        <f t="shared" si="11"/>
        <v>1313890.635</v>
      </c>
    </row>
    <row r="105" spans="1:6">
      <c r="A105" s="335" t="s">
        <v>440</v>
      </c>
      <c r="B105" s="336">
        <v>1</v>
      </c>
      <c r="C105" s="337">
        <f>+C98+75000</f>
        <v>1224165</v>
      </c>
      <c r="D105" s="337">
        <f t="shared" si="9"/>
        <v>122416.5</v>
      </c>
      <c r="E105" s="337">
        <f t="shared" si="10"/>
        <v>23259.135000000002</v>
      </c>
      <c r="F105" s="337">
        <f t="shared" si="11"/>
        <v>1369840.635</v>
      </c>
    </row>
    <row r="106" spans="1:6">
      <c r="A106" s="69" t="s">
        <v>441</v>
      </c>
      <c r="B106" s="329">
        <v>1</v>
      </c>
      <c r="C106" s="330">
        <f>+C98+150000</f>
        <v>1299165</v>
      </c>
      <c r="D106" s="330">
        <f t="shared" si="9"/>
        <v>129916.5</v>
      </c>
      <c r="E106" s="330">
        <f t="shared" si="10"/>
        <v>24684.135000000002</v>
      </c>
      <c r="F106" s="330">
        <f t="shared" si="11"/>
        <v>1453765.635</v>
      </c>
    </row>
  </sheetData>
  <mergeCells count="11">
    <mergeCell ref="A41:B41"/>
    <mergeCell ref="B50:F50"/>
    <mergeCell ref="B51:F51"/>
    <mergeCell ref="B52:F52"/>
    <mergeCell ref="B53:F53"/>
    <mergeCell ref="A40:B40"/>
    <mergeCell ref="A1:F1"/>
    <mergeCell ref="A2:F2"/>
    <mergeCell ref="A3:F3"/>
    <mergeCell ref="A5:B5"/>
    <mergeCell ref="A39:B3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workbookViewId="0">
      <selection activeCell="G20" sqref="G20"/>
    </sheetView>
  </sheetViews>
  <sheetFormatPr baseColWidth="10" defaultRowHeight="11.25"/>
  <cols>
    <col min="1" max="1" width="17.140625" style="5" customWidth="1"/>
    <col min="2" max="2" width="13" style="5" customWidth="1"/>
    <col min="3" max="3" width="7.7109375" style="5" customWidth="1"/>
    <col min="4" max="4" width="16.140625" style="5" bestFit="1" customWidth="1"/>
    <col min="5" max="5" width="10" style="5" customWidth="1"/>
    <col min="6" max="6" width="8.85546875" style="5" customWidth="1"/>
    <col min="7" max="7" width="10.140625" style="5" customWidth="1"/>
    <col min="8" max="8" width="16.140625" style="5" customWidth="1"/>
    <col min="9" max="9" width="12.42578125" style="5" customWidth="1"/>
    <col min="10" max="10" width="6.85546875" style="5" customWidth="1"/>
    <col min="11" max="11" width="11.85546875" style="5" customWidth="1"/>
    <col min="12" max="12" width="10.85546875" style="5" customWidth="1"/>
    <col min="13" max="13" width="3.7109375" style="5" customWidth="1"/>
    <col min="14" max="14" width="4.7109375" style="5" customWidth="1"/>
    <col min="15" max="15" width="6.28515625" style="5" customWidth="1"/>
    <col min="16" max="256" width="11.42578125" style="5"/>
    <col min="257" max="257" width="17.140625" style="5" customWidth="1"/>
    <col min="258" max="258" width="13" style="5" customWidth="1"/>
    <col min="259" max="259" width="7.7109375" style="5" customWidth="1"/>
    <col min="260" max="260" width="14" style="5" customWidth="1"/>
    <col min="261" max="261" width="10" style="5" customWidth="1"/>
    <col min="262" max="262" width="8.85546875" style="5" customWidth="1"/>
    <col min="263" max="263" width="10.140625" style="5" customWidth="1"/>
    <col min="264" max="264" width="16.140625" style="5" customWidth="1"/>
    <col min="265" max="265" width="12.42578125" style="5" customWidth="1"/>
    <col min="266" max="266" width="6.85546875" style="5" customWidth="1"/>
    <col min="267" max="267" width="11.85546875" style="5" customWidth="1"/>
    <col min="268" max="268" width="10.85546875" style="5" customWidth="1"/>
    <col min="269" max="269" width="3.7109375" style="5" customWidth="1"/>
    <col min="270" max="270" width="4.7109375" style="5" customWidth="1"/>
    <col min="271" max="271" width="6.28515625" style="5" customWidth="1"/>
    <col min="272" max="512" width="11.42578125" style="5"/>
    <col min="513" max="513" width="17.140625" style="5" customWidth="1"/>
    <col min="514" max="514" width="13" style="5" customWidth="1"/>
    <col min="515" max="515" width="7.7109375" style="5" customWidth="1"/>
    <col min="516" max="516" width="14" style="5" customWidth="1"/>
    <col min="517" max="517" width="10" style="5" customWidth="1"/>
    <col min="518" max="518" width="8.85546875" style="5" customWidth="1"/>
    <col min="519" max="519" width="10.140625" style="5" customWidth="1"/>
    <col min="520" max="520" width="16.140625" style="5" customWidth="1"/>
    <col min="521" max="521" width="12.42578125" style="5" customWidth="1"/>
    <col min="522" max="522" width="6.85546875" style="5" customWidth="1"/>
    <col min="523" max="523" width="11.85546875" style="5" customWidth="1"/>
    <col min="524" max="524" width="10.85546875" style="5" customWidth="1"/>
    <col min="525" max="525" width="3.7109375" style="5" customWidth="1"/>
    <col min="526" max="526" width="4.7109375" style="5" customWidth="1"/>
    <col min="527" max="527" width="6.28515625" style="5" customWidth="1"/>
    <col min="528" max="768" width="11.42578125" style="5"/>
    <col min="769" max="769" width="17.140625" style="5" customWidth="1"/>
    <col min="770" max="770" width="13" style="5" customWidth="1"/>
    <col min="771" max="771" width="7.7109375" style="5" customWidth="1"/>
    <col min="772" max="772" width="14" style="5" customWidth="1"/>
    <col min="773" max="773" width="10" style="5" customWidth="1"/>
    <col min="774" max="774" width="8.85546875" style="5" customWidth="1"/>
    <col min="775" max="775" width="10.140625" style="5" customWidth="1"/>
    <col min="776" max="776" width="16.140625" style="5" customWidth="1"/>
    <col min="777" max="777" width="12.42578125" style="5" customWidth="1"/>
    <col min="778" max="778" width="6.85546875" style="5" customWidth="1"/>
    <col min="779" max="779" width="11.85546875" style="5" customWidth="1"/>
    <col min="780" max="780" width="10.85546875" style="5" customWidth="1"/>
    <col min="781" max="781" width="3.7109375" style="5" customWidth="1"/>
    <col min="782" max="782" width="4.7109375" style="5" customWidth="1"/>
    <col min="783" max="783" width="6.28515625" style="5" customWidth="1"/>
    <col min="784" max="1024" width="11.42578125" style="5"/>
    <col min="1025" max="1025" width="17.140625" style="5" customWidth="1"/>
    <col min="1026" max="1026" width="13" style="5" customWidth="1"/>
    <col min="1027" max="1027" width="7.7109375" style="5" customWidth="1"/>
    <col min="1028" max="1028" width="14" style="5" customWidth="1"/>
    <col min="1029" max="1029" width="10" style="5" customWidth="1"/>
    <col min="1030" max="1030" width="8.85546875" style="5" customWidth="1"/>
    <col min="1031" max="1031" width="10.140625" style="5" customWidth="1"/>
    <col min="1032" max="1032" width="16.140625" style="5" customWidth="1"/>
    <col min="1033" max="1033" width="12.42578125" style="5" customWidth="1"/>
    <col min="1034" max="1034" width="6.85546875" style="5" customWidth="1"/>
    <col min="1035" max="1035" width="11.85546875" style="5" customWidth="1"/>
    <col min="1036" max="1036" width="10.85546875" style="5" customWidth="1"/>
    <col min="1037" max="1037" width="3.7109375" style="5" customWidth="1"/>
    <col min="1038" max="1038" width="4.7109375" style="5" customWidth="1"/>
    <col min="1039" max="1039" width="6.28515625" style="5" customWidth="1"/>
    <col min="1040" max="1280" width="11.42578125" style="5"/>
    <col min="1281" max="1281" width="17.140625" style="5" customWidth="1"/>
    <col min="1282" max="1282" width="13" style="5" customWidth="1"/>
    <col min="1283" max="1283" width="7.7109375" style="5" customWidth="1"/>
    <col min="1284" max="1284" width="14" style="5" customWidth="1"/>
    <col min="1285" max="1285" width="10" style="5" customWidth="1"/>
    <col min="1286" max="1286" width="8.85546875" style="5" customWidth="1"/>
    <col min="1287" max="1287" width="10.140625" style="5" customWidth="1"/>
    <col min="1288" max="1288" width="16.140625" style="5" customWidth="1"/>
    <col min="1289" max="1289" width="12.42578125" style="5" customWidth="1"/>
    <col min="1290" max="1290" width="6.85546875" style="5" customWidth="1"/>
    <col min="1291" max="1291" width="11.85546875" style="5" customWidth="1"/>
    <col min="1292" max="1292" width="10.85546875" style="5" customWidth="1"/>
    <col min="1293" max="1293" width="3.7109375" style="5" customWidth="1"/>
    <col min="1294" max="1294" width="4.7109375" style="5" customWidth="1"/>
    <col min="1295" max="1295" width="6.28515625" style="5" customWidth="1"/>
    <col min="1296" max="1536" width="11.42578125" style="5"/>
    <col min="1537" max="1537" width="17.140625" style="5" customWidth="1"/>
    <col min="1538" max="1538" width="13" style="5" customWidth="1"/>
    <col min="1539" max="1539" width="7.7109375" style="5" customWidth="1"/>
    <col min="1540" max="1540" width="14" style="5" customWidth="1"/>
    <col min="1541" max="1541" width="10" style="5" customWidth="1"/>
    <col min="1542" max="1542" width="8.85546875" style="5" customWidth="1"/>
    <col min="1543" max="1543" width="10.140625" style="5" customWidth="1"/>
    <col min="1544" max="1544" width="16.140625" style="5" customWidth="1"/>
    <col min="1545" max="1545" width="12.42578125" style="5" customWidth="1"/>
    <col min="1546" max="1546" width="6.85546875" style="5" customWidth="1"/>
    <col min="1547" max="1547" width="11.85546875" style="5" customWidth="1"/>
    <col min="1548" max="1548" width="10.85546875" style="5" customWidth="1"/>
    <col min="1549" max="1549" width="3.7109375" style="5" customWidth="1"/>
    <col min="1550" max="1550" width="4.7109375" style="5" customWidth="1"/>
    <col min="1551" max="1551" width="6.28515625" style="5" customWidth="1"/>
    <col min="1552" max="1792" width="11.42578125" style="5"/>
    <col min="1793" max="1793" width="17.140625" style="5" customWidth="1"/>
    <col min="1794" max="1794" width="13" style="5" customWidth="1"/>
    <col min="1795" max="1795" width="7.7109375" style="5" customWidth="1"/>
    <col min="1796" max="1796" width="14" style="5" customWidth="1"/>
    <col min="1797" max="1797" width="10" style="5" customWidth="1"/>
    <col min="1798" max="1798" width="8.85546875" style="5" customWidth="1"/>
    <col min="1799" max="1799" width="10.140625" style="5" customWidth="1"/>
    <col min="1800" max="1800" width="16.140625" style="5" customWidth="1"/>
    <col min="1801" max="1801" width="12.42578125" style="5" customWidth="1"/>
    <col min="1802" max="1802" width="6.85546875" style="5" customWidth="1"/>
    <col min="1803" max="1803" width="11.85546875" style="5" customWidth="1"/>
    <col min="1804" max="1804" width="10.85546875" style="5" customWidth="1"/>
    <col min="1805" max="1805" width="3.7109375" style="5" customWidth="1"/>
    <col min="1806" max="1806" width="4.7109375" style="5" customWidth="1"/>
    <col min="1807" max="1807" width="6.28515625" style="5" customWidth="1"/>
    <col min="1808" max="2048" width="11.42578125" style="5"/>
    <col min="2049" max="2049" width="17.140625" style="5" customWidth="1"/>
    <col min="2050" max="2050" width="13" style="5" customWidth="1"/>
    <col min="2051" max="2051" width="7.7109375" style="5" customWidth="1"/>
    <col min="2052" max="2052" width="14" style="5" customWidth="1"/>
    <col min="2053" max="2053" width="10" style="5" customWidth="1"/>
    <col min="2054" max="2054" width="8.85546875" style="5" customWidth="1"/>
    <col min="2055" max="2055" width="10.140625" style="5" customWidth="1"/>
    <col min="2056" max="2056" width="16.140625" style="5" customWidth="1"/>
    <col min="2057" max="2057" width="12.42578125" style="5" customWidth="1"/>
    <col min="2058" max="2058" width="6.85546875" style="5" customWidth="1"/>
    <col min="2059" max="2059" width="11.85546875" style="5" customWidth="1"/>
    <col min="2060" max="2060" width="10.85546875" style="5" customWidth="1"/>
    <col min="2061" max="2061" width="3.7109375" style="5" customWidth="1"/>
    <col min="2062" max="2062" width="4.7109375" style="5" customWidth="1"/>
    <col min="2063" max="2063" width="6.28515625" style="5" customWidth="1"/>
    <col min="2064" max="2304" width="11.42578125" style="5"/>
    <col min="2305" max="2305" width="17.140625" style="5" customWidth="1"/>
    <col min="2306" max="2306" width="13" style="5" customWidth="1"/>
    <col min="2307" max="2307" width="7.7109375" style="5" customWidth="1"/>
    <col min="2308" max="2308" width="14" style="5" customWidth="1"/>
    <col min="2309" max="2309" width="10" style="5" customWidth="1"/>
    <col min="2310" max="2310" width="8.85546875" style="5" customWidth="1"/>
    <col min="2311" max="2311" width="10.140625" style="5" customWidth="1"/>
    <col min="2312" max="2312" width="16.140625" style="5" customWidth="1"/>
    <col min="2313" max="2313" width="12.42578125" style="5" customWidth="1"/>
    <col min="2314" max="2314" width="6.85546875" style="5" customWidth="1"/>
    <col min="2315" max="2315" width="11.85546875" style="5" customWidth="1"/>
    <col min="2316" max="2316" width="10.85546875" style="5" customWidth="1"/>
    <col min="2317" max="2317" width="3.7109375" style="5" customWidth="1"/>
    <col min="2318" max="2318" width="4.7109375" style="5" customWidth="1"/>
    <col min="2319" max="2319" width="6.28515625" style="5" customWidth="1"/>
    <col min="2320" max="2560" width="11.42578125" style="5"/>
    <col min="2561" max="2561" width="17.140625" style="5" customWidth="1"/>
    <col min="2562" max="2562" width="13" style="5" customWidth="1"/>
    <col min="2563" max="2563" width="7.7109375" style="5" customWidth="1"/>
    <col min="2564" max="2564" width="14" style="5" customWidth="1"/>
    <col min="2565" max="2565" width="10" style="5" customWidth="1"/>
    <col min="2566" max="2566" width="8.85546875" style="5" customWidth="1"/>
    <col min="2567" max="2567" width="10.140625" style="5" customWidth="1"/>
    <col min="2568" max="2568" width="16.140625" style="5" customWidth="1"/>
    <col min="2569" max="2569" width="12.42578125" style="5" customWidth="1"/>
    <col min="2570" max="2570" width="6.85546875" style="5" customWidth="1"/>
    <col min="2571" max="2571" width="11.85546875" style="5" customWidth="1"/>
    <col min="2572" max="2572" width="10.85546875" style="5" customWidth="1"/>
    <col min="2573" max="2573" width="3.7109375" style="5" customWidth="1"/>
    <col min="2574" max="2574" width="4.7109375" style="5" customWidth="1"/>
    <col min="2575" max="2575" width="6.28515625" style="5" customWidth="1"/>
    <col min="2576" max="2816" width="11.42578125" style="5"/>
    <col min="2817" max="2817" width="17.140625" style="5" customWidth="1"/>
    <col min="2818" max="2818" width="13" style="5" customWidth="1"/>
    <col min="2819" max="2819" width="7.7109375" style="5" customWidth="1"/>
    <col min="2820" max="2820" width="14" style="5" customWidth="1"/>
    <col min="2821" max="2821" width="10" style="5" customWidth="1"/>
    <col min="2822" max="2822" width="8.85546875" style="5" customWidth="1"/>
    <col min="2823" max="2823" width="10.140625" style="5" customWidth="1"/>
    <col min="2824" max="2824" width="16.140625" style="5" customWidth="1"/>
    <col min="2825" max="2825" width="12.42578125" style="5" customWidth="1"/>
    <col min="2826" max="2826" width="6.85546875" style="5" customWidth="1"/>
    <col min="2827" max="2827" width="11.85546875" style="5" customWidth="1"/>
    <col min="2828" max="2828" width="10.85546875" style="5" customWidth="1"/>
    <col min="2829" max="2829" width="3.7109375" style="5" customWidth="1"/>
    <col min="2830" max="2830" width="4.7109375" style="5" customWidth="1"/>
    <col min="2831" max="2831" width="6.28515625" style="5" customWidth="1"/>
    <col min="2832" max="3072" width="11.42578125" style="5"/>
    <col min="3073" max="3073" width="17.140625" style="5" customWidth="1"/>
    <col min="3074" max="3074" width="13" style="5" customWidth="1"/>
    <col min="3075" max="3075" width="7.7109375" style="5" customWidth="1"/>
    <col min="3076" max="3076" width="14" style="5" customWidth="1"/>
    <col min="3077" max="3077" width="10" style="5" customWidth="1"/>
    <col min="3078" max="3078" width="8.85546875" style="5" customWidth="1"/>
    <col min="3079" max="3079" width="10.140625" style="5" customWidth="1"/>
    <col min="3080" max="3080" width="16.140625" style="5" customWidth="1"/>
    <col min="3081" max="3081" width="12.42578125" style="5" customWidth="1"/>
    <col min="3082" max="3082" width="6.85546875" style="5" customWidth="1"/>
    <col min="3083" max="3083" width="11.85546875" style="5" customWidth="1"/>
    <col min="3084" max="3084" width="10.85546875" style="5" customWidth="1"/>
    <col min="3085" max="3085" width="3.7109375" style="5" customWidth="1"/>
    <col min="3086" max="3086" width="4.7109375" style="5" customWidth="1"/>
    <col min="3087" max="3087" width="6.28515625" style="5" customWidth="1"/>
    <col min="3088" max="3328" width="11.42578125" style="5"/>
    <col min="3329" max="3329" width="17.140625" style="5" customWidth="1"/>
    <col min="3330" max="3330" width="13" style="5" customWidth="1"/>
    <col min="3331" max="3331" width="7.7109375" style="5" customWidth="1"/>
    <col min="3332" max="3332" width="14" style="5" customWidth="1"/>
    <col min="3333" max="3333" width="10" style="5" customWidth="1"/>
    <col min="3334" max="3334" width="8.85546875" style="5" customWidth="1"/>
    <col min="3335" max="3335" width="10.140625" style="5" customWidth="1"/>
    <col min="3336" max="3336" width="16.140625" style="5" customWidth="1"/>
    <col min="3337" max="3337" width="12.42578125" style="5" customWidth="1"/>
    <col min="3338" max="3338" width="6.85546875" style="5" customWidth="1"/>
    <col min="3339" max="3339" width="11.85546875" style="5" customWidth="1"/>
    <col min="3340" max="3340" width="10.85546875" style="5" customWidth="1"/>
    <col min="3341" max="3341" width="3.7109375" style="5" customWidth="1"/>
    <col min="3342" max="3342" width="4.7109375" style="5" customWidth="1"/>
    <col min="3343" max="3343" width="6.28515625" style="5" customWidth="1"/>
    <col min="3344" max="3584" width="11.42578125" style="5"/>
    <col min="3585" max="3585" width="17.140625" style="5" customWidth="1"/>
    <col min="3586" max="3586" width="13" style="5" customWidth="1"/>
    <col min="3587" max="3587" width="7.7109375" style="5" customWidth="1"/>
    <col min="3588" max="3588" width="14" style="5" customWidth="1"/>
    <col min="3589" max="3589" width="10" style="5" customWidth="1"/>
    <col min="3590" max="3590" width="8.85546875" style="5" customWidth="1"/>
    <col min="3591" max="3591" width="10.140625" style="5" customWidth="1"/>
    <col min="3592" max="3592" width="16.140625" style="5" customWidth="1"/>
    <col min="3593" max="3593" width="12.42578125" style="5" customWidth="1"/>
    <col min="3594" max="3594" width="6.85546875" style="5" customWidth="1"/>
    <col min="3595" max="3595" width="11.85546875" style="5" customWidth="1"/>
    <col min="3596" max="3596" width="10.85546875" style="5" customWidth="1"/>
    <col min="3597" max="3597" width="3.7109375" style="5" customWidth="1"/>
    <col min="3598" max="3598" width="4.7109375" style="5" customWidth="1"/>
    <col min="3599" max="3599" width="6.28515625" style="5" customWidth="1"/>
    <col min="3600" max="3840" width="11.42578125" style="5"/>
    <col min="3841" max="3841" width="17.140625" style="5" customWidth="1"/>
    <col min="3842" max="3842" width="13" style="5" customWidth="1"/>
    <col min="3843" max="3843" width="7.7109375" style="5" customWidth="1"/>
    <col min="3844" max="3844" width="14" style="5" customWidth="1"/>
    <col min="3845" max="3845" width="10" style="5" customWidth="1"/>
    <col min="3846" max="3846" width="8.85546875" style="5" customWidth="1"/>
    <col min="3847" max="3847" width="10.140625" style="5" customWidth="1"/>
    <col min="3848" max="3848" width="16.140625" style="5" customWidth="1"/>
    <col min="3849" max="3849" width="12.42578125" style="5" customWidth="1"/>
    <col min="3850" max="3850" width="6.85546875" style="5" customWidth="1"/>
    <col min="3851" max="3851" width="11.85546875" style="5" customWidth="1"/>
    <col min="3852" max="3852" width="10.85546875" style="5" customWidth="1"/>
    <col min="3853" max="3853" width="3.7109375" style="5" customWidth="1"/>
    <col min="3854" max="3854" width="4.7109375" style="5" customWidth="1"/>
    <col min="3855" max="3855" width="6.28515625" style="5" customWidth="1"/>
    <col min="3856" max="4096" width="11.42578125" style="5"/>
    <col min="4097" max="4097" width="17.140625" style="5" customWidth="1"/>
    <col min="4098" max="4098" width="13" style="5" customWidth="1"/>
    <col min="4099" max="4099" width="7.7109375" style="5" customWidth="1"/>
    <col min="4100" max="4100" width="14" style="5" customWidth="1"/>
    <col min="4101" max="4101" width="10" style="5" customWidth="1"/>
    <col min="4102" max="4102" width="8.85546875" style="5" customWidth="1"/>
    <col min="4103" max="4103" width="10.140625" style="5" customWidth="1"/>
    <col min="4104" max="4104" width="16.140625" style="5" customWidth="1"/>
    <col min="4105" max="4105" width="12.42578125" style="5" customWidth="1"/>
    <col min="4106" max="4106" width="6.85546875" style="5" customWidth="1"/>
    <col min="4107" max="4107" width="11.85546875" style="5" customWidth="1"/>
    <col min="4108" max="4108" width="10.85546875" style="5" customWidth="1"/>
    <col min="4109" max="4109" width="3.7109375" style="5" customWidth="1"/>
    <col min="4110" max="4110" width="4.7109375" style="5" customWidth="1"/>
    <col min="4111" max="4111" width="6.28515625" style="5" customWidth="1"/>
    <col min="4112" max="4352" width="11.42578125" style="5"/>
    <col min="4353" max="4353" width="17.140625" style="5" customWidth="1"/>
    <col min="4354" max="4354" width="13" style="5" customWidth="1"/>
    <col min="4355" max="4355" width="7.7109375" style="5" customWidth="1"/>
    <col min="4356" max="4356" width="14" style="5" customWidth="1"/>
    <col min="4357" max="4357" width="10" style="5" customWidth="1"/>
    <col min="4358" max="4358" width="8.85546875" style="5" customWidth="1"/>
    <col min="4359" max="4359" width="10.140625" style="5" customWidth="1"/>
    <col min="4360" max="4360" width="16.140625" style="5" customWidth="1"/>
    <col min="4361" max="4361" width="12.42578125" style="5" customWidth="1"/>
    <col min="4362" max="4362" width="6.85546875" style="5" customWidth="1"/>
    <col min="4363" max="4363" width="11.85546875" style="5" customWidth="1"/>
    <col min="4364" max="4364" width="10.85546875" style="5" customWidth="1"/>
    <col min="4365" max="4365" width="3.7109375" style="5" customWidth="1"/>
    <col min="4366" max="4366" width="4.7109375" style="5" customWidth="1"/>
    <col min="4367" max="4367" width="6.28515625" style="5" customWidth="1"/>
    <col min="4368" max="4608" width="11.42578125" style="5"/>
    <col min="4609" max="4609" width="17.140625" style="5" customWidth="1"/>
    <col min="4610" max="4610" width="13" style="5" customWidth="1"/>
    <col min="4611" max="4611" width="7.7109375" style="5" customWidth="1"/>
    <col min="4612" max="4612" width="14" style="5" customWidth="1"/>
    <col min="4613" max="4613" width="10" style="5" customWidth="1"/>
    <col min="4614" max="4614" width="8.85546875" style="5" customWidth="1"/>
    <col min="4615" max="4615" width="10.140625" style="5" customWidth="1"/>
    <col min="4616" max="4616" width="16.140625" style="5" customWidth="1"/>
    <col min="4617" max="4617" width="12.42578125" style="5" customWidth="1"/>
    <col min="4618" max="4618" width="6.85546875" style="5" customWidth="1"/>
    <col min="4619" max="4619" width="11.85546875" style="5" customWidth="1"/>
    <col min="4620" max="4620" width="10.85546875" style="5" customWidth="1"/>
    <col min="4621" max="4621" width="3.7109375" style="5" customWidth="1"/>
    <col min="4622" max="4622" width="4.7109375" style="5" customWidth="1"/>
    <col min="4623" max="4623" width="6.28515625" style="5" customWidth="1"/>
    <col min="4624" max="4864" width="11.42578125" style="5"/>
    <col min="4865" max="4865" width="17.140625" style="5" customWidth="1"/>
    <col min="4866" max="4866" width="13" style="5" customWidth="1"/>
    <col min="4867" max="4867" width="7.7109375" style="5" customWidth="1"/>
    <col min="4868" max="4868" width="14" style="5" customWidth="1"/>
    <col min="4869" max="4869" width="10" style="5" customWidth="1"/>
    <col min="4870" max="4870" width="8.85546875" style="5" customWidth="1"/>
    <col min="4871" max="4871" width="10.140625" style="5" customWidth="1"/>
    <col min="4872" max="4872" width="16.140625" style="5" customWidth="1"/>
    <col min="4873" max="4873" width="12.42578125" style="5" customWidth="1"/>
    <col min="4874" max="4874" width="6.85546875" style="5" customWidth="1"/>
    <col min="4875" max="4875" width="11.85546875" style="5" customWidth="1"/>
    <col min="4876" max="4876" width="10.85546875" style="5" customWidth="1"/>
    <col min="4877" max="4877" width="3.7109375" style="5" customWidth="1"/>
    <col min="4878" max="4878" width="4.7109375" style="5" customWidth="1"/>
    <col min="4879" max="4879" width="6.28515625" style="5" customWidth="1"/>
    <col min="4880" max="5120" width="11.42578125" style="5"/>
    <col min="5121" max="5121" width="17.140625" style="5" customWidth="1"/>
    <col min="5122" max="5122" width="13" style="5" customWidth="1"/>
    <col min="5123" max="5123" width="7.7109375" style="5" customWidth="1"/>
    <col min="5124" max="5124" width="14" style="5" customWidth="1"/>
    <col min="5125" max="5125" width="10" style="5" customWidth="1"/>
    <col min="5126" max="5126" width="8.85546875" style="5" customWidth="1"/>
    <col min="5127" max="5127" width="10.140625" style="5" customWidth="1"/>
    <col min="5128" max="5128" width="16.140625" style="5" customWidth="1"/>
    <col min="5129" max="5129" width="12.42578125" style="5" customWidth="1"/>
    <col min="5130" max="5130" width="6.85546875" style="5" customWidth="1"/>
    <col min="5131" max="5131" width="11.85546875" style="5" customWidth="1"/>
    <col min="5132" max="5132" width="10.85546875" style="5" customWidth="1"/>
    <col min="5133" max="5133" width="3.7109375" style="5" customWidth="1"/>
    <col min="5134" max="5134" width="4.7109375" style="5" customWidth="1"/>
    <col min="5135" max="5135" width="6.28515625" style="5" customWidth="1"/>
    <col min="5136" max="5376" width="11.42578125" style="5"/>
    <col min="5377" max="5377" width="17.140625" style="5" customWidth="1"/>
    <col min="5378" max="5378" width="13" style="5" customWidth="1"/>
    <col min="5379" max="5379" width="7.7109375" style="5" customWidth="1"/>
    <col min="5380" max="5380" width="14" style="5" customWidth="1"/>
    <col min="5381" max="5381" width="10" style="5" customWidth="1"/>
    <col min="5382" max="5382" width="8.85546875" style="5" customWidth="1"/>
    <col min="5383" max="5383" width="10.140625" style="5" customWidth="1"/>
    <col min="5384" max="5384" width="16.140625" style="5" customWidth="1"/>
    <col min="5385" max="5385" width="12.42578125" style="5" customWidth="1"/>
    <col min="5386" max="5386" width="6.85546875" style="5" customWidth="1"/>
    <col min="5387" max="5387" width="11.85546875" style="5" customWidth="1"/>
    <col min="5388" max="5388" width="10.85546875" style="5" customWidth="1"/>
    <col min="5389" max="5389" width="3.7109375" style="5" customWidth="1"/>
    <col min="5390" max="5390" width="4.7109375" style="5" customWidth="1"/>
    <col min="5391" max="5391" width="6.28515625" style="5" customWidth="1"/>
    <col min="5392" max="5632" width="11.42578125" style="5"/>
    <col min="5633" max="5633" width="17.140625" style="5" customWidth="1"/>
    <col min="5634" max="5634" width="13" style="5" customWidth="1"/>
    <col min="5635" max="5635" width="7.7109375" style="5" customWidth="1"/>
    <col min="5636" max="5636" width="14" style="5" customWidth="1"/>
    <col min="5637" max="5637" width="10" style="5" customWidth="1"/>
    <col min="5638" max="5638" width="8.85546875" style="5" customWidth="1"/>
    <col min="5639" max="5639" width="10.140625" style="5" customWidth="1"/>
    <col min="5640" max="5640" width="16.140625" style="5" customWidth="1"/>
    <col min="5641" max="5641" width="12.42578125" style="5" customWidth="1"/>
    <col min="5642" max="5642" width="6.85546875" style="5" customWidth="1"/>
    <col min="5643" max="5643" width="11.85546875" style="5" customWidth="1"/>
    <col min="5644" max="5644" width="10.85546875" style="5" customWidth="1"/>
    <col min="5645" max="5645" width="3.7109375" style="5" customWidth="1"/>
    <col min="5646" max="5646" width="4.7109375" style="5" customWidth="1"/>
    <col min="5647" max="5647" width="6.28515625" style="5" customWidth="1"/>
    <col min="5648" max="5888" width="11.42578125" style="5"/>
    <col min="5889" max="5889" width="17.140625" style="5" customWidth="1"/>
    <col min="5890" max="5890" width="13" style="5" customWidth="1"/>
    <col min="5891" max="5891" width="7.7109375" style="5" customWidth="1"/>
    <col min="5892" max="5892" width="14" style="5" customWidth="1"/>
    <col min="5893" max="5893" width="10" style="5" customWidth="1"/>
    <col min="5894" max="5894" width="8.85546875" style="5" customWidth="1"/>
    <col min="5895" max="5895" width="10.140625" style="5" customWidth="1"/>
    <col min="5896" max="5896" width="16.140625" style="5" customWidth="1"/>
    <col min="5897" max="5897" width="12.42578125" style="5" customWidth="1"/>
    <col min="5898" max="5898" width="6.85546875" style="5" customWidth="1"/>
    <col min="5899" max="5899" width="11.85546875" style="5" customWidth="1"/>
    <col min="5900" max="5900" width="10.85546875" style="5" customWidth="1"/>
    <col min="5901" max="5901" width="3.7109375" style="5" customWidth="1"/>
    <col min="5902" max="5902" width="4.7109375" style="5" customWidth="1"/>
    <col min="5903" max="5903" width="6.28515625" style="5" customWidth="1"/>
    <col min="5904" max="6144" width="11.42578125" style="5"/>
    <col min="6145" max="6145" width="17.140625" style="5" customWidth="1"/>
    <col min="6146" max="6146" width="13" style="5" customWidth="1"/>
    <col min="6147" max="6147" width="7.7109375" style="5" customWidth="1"/>
    <col min="6148" max="6148" width="14" style="5" customWidth="1"/>
    <col min="6149" max="6149" width="10" style="5" customWidth="1"/>
    <col min="6150" max="6150" width="8.85546875" style="5" customWidth="1"/>
    <col min="6151" max="6151" width="10.140625" style="5" customWidth="1"/>
    <col min="6152" max="6152" width="16.140625" style="5" customWidth="1"/>
    <col min="6153" max="6153" width="12.42578125" style="5" customWidth="1"/>
    <col min="6154" max="6154" width="6.85546875" style="5" customWidth="1"/>
    <col min="6155" max="6155" width="11.85546875" style="5" customWidth="1"/>
    <col min="6156" max="6156" width="10.85546875" style="5" customWidth="1"/>
    <col min="6157" max="6157" width="3.7109375" style="5" customWidth="1"/>
    <col min="6158" max="6158" width="4.7109375" style="5" customWidth="1"/>
    <col min="6159" max="6159" width="6.28515625" style="5" customWidth="1"/>
    <col min="6160" max="6400" width="11.42578125" style="5"/>
    <col min="6401" max="6401" width="17.140625" style="5" customWidth="1"/>
    <col min="6402" max="6402" width="13" style="5" customWidth="1"/>
    <col min="6403" max="6403" width="7.7109375" style="5" customWidth="1"/>
    <col min="6404" max="6404" width="14" style="5" customWidth="1"/>
    <col min="6405" max="6405" width="10" style="5" customWidth="1"/>
    <col min="6406" max="6406" width="8.85546875" style="5" customWidth="1"/>
    <col min="6407" max="6407" width="10.140625" style="5" customWidth="1"/>
    <col min="6408" max="6408" width="16.140625" style="5" customWidth="1"/>
    <col min="6409" max="6409" width="12.42578125" style="5" customWidth="1"/>
    <col min="6410" max="6410" width="6.85546875" style="5" customWidth="1"/>
    <col min="6411" max="6411" width="11.85546875" style="5" customWidth="1"/>
    <col min="6412" max="6412" width="10.85546875" style="5" customWidth="1"/>
    <col min="6413" max="6413" width="3.7109375" style="5" customWidth="1"/>
    <col min="6414" max="6414" width="4.7109375" style="5" customWidth="1"/>
    <col min="6415" max="6415" width="6.28515625" style="5" customWidth="1"/>
    <col min="6416" max="6656" width="11.42578125" style="5"/>
    <col min="6657" max="6657" width="17.140625" style="5" customWidth="1"/>
    <col min="6658" max="6658" width="13" style="5" customWidth="1"/>
    <col min="6659" max="6659" width="7.7109375" style="5" customWidth="1"/>
    <col min="6660" max="6660" width="14" style="5" customWidth="1"/>
    <col min="6661" max="6661" width="10" style="5" customWidth="1"/>
    <col min="6662" max="6662" width="8.85546875" style="5" customWidth="1"/>
    <col min="6663" max="6663" width="10.140625" style="5" customWidth="1"/>
    <col min="6664" max="6664" width="16.140625" style="5" customWidth="1"/>
    <col min="6665" max="6665" width="12.42578125" style="5" customWidth="1"/>
    <col min="6666" max="6666" width="6.85546875" style="5" customWidth="1"/>
    <col min="6667" max="6667" width="11.85546875" style="5" customWidth="1"/>
    <col min="6668" max="6668" width="10.85546875" style="5" customWidth="1"/>
    <col min="6669" max="6669" width="3.7109375" style="5" customWidth="1"/>
    <col min="6670" max="6670" width="4.7109375" style="5" customWidth="1"/>
    <col min="6671" max="6671" width="6.28515625" style="5" customWidth="1"/>
    <col min="6672" max="6912" width="11.42578125" style="5"/>
    <col min="6913" max="6913" width="17.140625" style="5" customWidth="1"/>
    <col min="6914" max="6914" width="13" style="5" customWidth="1"/>
    <col min="6915" max="6915" width="7.7109375" style="5" customWidth="1"/>
    <col min="6916" max="6916" width="14" style="5" customWidth="1"/>
    <col min="6917" max="6917" width="10" style="5" customWidth="1"/>
    <col min="6918" max="6918" width="8.85546875" style="5" customWidth="1"/>
    <col min="6919" max="6919" width="10.140625" style="5" customWidth="1"/>
    <col min="6920" max="6920" width="16.140625" style="5" customWidth="1"/>
    <col min="6921" max="6921" width="12.42578125" style="5" customWidth="1"/>
    <col min="6922" max="6922" width="6.85546875" style="5" customWidth="1"/>
    <col min="6923" max="6923" width="11.85546875" style="5" customWidth="1"/>
    <col min="6924" max="6924" width="10.85546875" style="5" customWidth="1"/>
    <col min="6925" max="6925" width="3.7109375" style="5" customWidth="1"/>
    <col min="6926" max="6926" width="4.7109375" style="5" customWidth="1"/>
    <col min="6927" max="6927" width="6.28515625" style="5" customWidth="1"/>
    <col min="6928" max="7168" width="11.42578125" style="5"/>
    <col min="7169" max="7169" width="17.140625" style="5" customWidth="1"/>
    <col min="7170" max="7170" width="13" style="5" customWidth="1"/>
    <col min="7171" max="7171" width="7.7109375" style="5" customWidth="1"/>
    <col min="7172" max="7172" width="14" style="5" customWidth="1"/>
    <col min="7173" max="7173" width="10" style="5" customWidth="1"/>
    <col min="7174" max="7174" width="8.85546875" style="5" customWidth="1"/>
    <col min="7175" max="7175" width="10.140625" style="5" customWidth="1"/>
    <col min="7176" max="7176" width="16.140625" style="5" customWidth="1"/>
    <col min="7177" max="7177" width="12.42578125" style="5" customWidth="1"/>
    <col min="7178" max="7178" width="6.85546875" style="5" customWidth="1"/>
    <col min="7179" max="7179" width="11.85546875" style="5" customWidth="1"/>
    <col min="7180" max="7180" width="10.85546875" style="5" customWidth="1"/>
    <col min="7181" max="7181" width="3.7109375" style="5" customWidth="1"/>
    <col min="7182" max="7182" width="4.7109375" style="5" customWidth="1"/>
    <col min="7183" max="7183" width="6.28515625" style="5" customWidth="1"/>
    <col min="7184" max="7424" width="11.42578125" style="5"/>
    <col min="7425" max="7425" width="17.140625" style="5" customWidth="1"/>
    <col min="7426" max="7426" width="13" style="5" customWidth="1"/>
    <col min="7427" max="7427" width="7.7109375" style="5" customWidth="1"/>
    <col min="7428" max="7428" width="14" style="5" customWidth="1"/>
    <col min="7429" max="7429" width="10" style="5" customWidth="1"/>
    <col min="7430" max="7430" width="8.85546875" style="5" customWidth="1"/>
    <col min="7431" max="7431" width="10.140625" style="5" customWidth="1"/>
    <col min="7432" max="7432" width="16.140625" style="5" customWidth="1"/>
    <col min="7433" max="7433" width="12.42578125" style="5" customWidth="1"/>
    <col min="7434" max="7434" width="6.85546875" style="5" customWidth="1"/>
    <col min="7435" max="7435" width="11.85546875" style="5" customWidth="1"/>
    <col min="7436" max="7436" width="10.85546875" style="5" customWidth="1"/>
    <col min="7437" max="7437" width="3.7109375" style="5" customWidth="1"/>
    <col min="7438" max="7438" width="4.7109375" style="5" customWidth="1"/>
    <col min="7439" max="7439" width="6.28515625" style="5" customWidth="1"/>
    <col min="7440" max="7680" width="11.42578125" style="5"/>
    <col min="7681" max="7681" width="17.140625" style="5" customWidth="1"/>
    <col min="7682" max="7682" width="13" style="5" customWidth="1"/>
    <col min="7683" max="7683" width="7.7109375" style="5" customWidth="1"/>
    <col min="7684" max="7684" width="14" style="5" customWidth="1"/>
    <col min="7685" max="7685" width="10" style="5" customWidth="1"/>
    <col min="7686" max="7686" width="8.85546875" style="5" customWidth="1"/>
    <col min="7687" max="7687" width="10.140625" style="5" customWidth="1"/>
    <col min="7688" max="7688" width="16.140625" style="5" customWidth="1"/>
    <col min="7689" max="7689" width="12.42578125" style="5" customWidth="1"/>
    <col min="7690" max="7690" width="6.85546875" style="5" customWidth="1"/>
    <col min="7691" max="7691" width="11.85546875" style="5" customWidth="1"/>
    <col min="7692" max="7692" width="10.85546875" style="5" customWidth="1"/>
    <col min="7693" max="7693" width="3.7109375" style="5" customWidth="1"/>
    <col min="7694" max="7694" width="4.7109375" style="5" customWidth="1"/>
    <col min="7695" max="7695" width="6.28515625" style="5" customWidth="1"/>
    <col min="7696" max="7936" width="11.42578125" style="5"/>
    <col min="7937" max="7937" width="17.140625" style="5" customWidth="1"/>
    <col min="7938" max="7938" width="13" style="5" customWidth="1"/>
    <col min="7939" max="7939" width="7.7109375" style="5" customWidth="1"/>
    <col min="7940" max="7940" width="14" style="5" customWidth="1"/>
    <col min="7941" max="7941" width="10" style="5" customWidth="1"/>
    <col min="7942" max="7942" width="8.85546875" style="5" customWidth="1"/>
    <col min="7943" max="7943" width="10.140625" style="5" customWidth="1"/>
    <col min="7944" max="7944" width="16.140625" style="5" customWidth="1"/>
    <col min="7945" max="7945" width="12.42578125" style="5" customWidth="1"/>
    <col min="7946" max="7946" width="6.85546875" style="5" customWidth="1"/>
    <col min="7947" max="7947" width="11.85546875" style="5" customWidth="1"/>
    <col min="7948" max="7948" width="10.85546875" style="5" customWidth="1"/>
    <col min="7949" max="7949" width="3.7109375" style="5" customWidth="1"/>
    <col min="7950" max="7950" width="4.7109375" style="5" customWidth="1"/>
    <col min="7951" max="7951" width="6.28515625" style="5" customWidth="1"/>
    <col min="7952" max="8192" width="11.42578125" style="5"/>
    <col min="8193" max="8193" width="17.140625" style="5" customWidth="1"/>
    <col min="8194" max="8194" width="13" style="5" customWidth="1"/>
    <col min="8195" max="8195" width="7.7109375" style="5" customWidth="1"/>
    <col min="8196" max="8196" width="14" style="5" customWidth="1"/>
    <col min="8197" max="8197" width="10" style="5" customWidth="1"/>
    <col min="8198" max="8198" width="8.85546875" style="5" customWidth="1"/>
    <col min="8199" max="8199" width="10.140625" style="5" customWidth="1"/>
    <col min="8200" max="8200" width="16.140625" style="5" customWidth="1"/>
    <col min="8201" max="8201" width="12.42578125" style="5" customWidth="1"/>
    <col min="8202" max="8202" width="6.85546875" style="5" customWidth="1"/>
    <col min="8203" max="8203" width="11.85546875" style="5" customWidth="1"/>
    <col min="8204" max="8204" width="10.85546875" style="5" customWidth="1"/>
    <col min="8205" max="8205" width="3.7109375" style="5" customWidth="1"/>
    <col min="8206" max="8206" width="4.7109375" style="5" customWidth="1"/>
    <col min="8207" max="8207" width="6.28515625" style="5" customWidth="1"/>
    <col min="8208" max="8448" width="11.42578125" style="5"/>
    <col min="8449" max="8449" width="17.140625" style="5" customWidth="1"/>
    <col min="8450" max="8450" width="13" style="5" customWidth="1"/>
    <col min="8451" max="8451" width="7.7109375" style="5" customWidth="1"/>
    <col min="8452" max="8452" width="14" style="5" customWidth="1"/>
    <col min="8453" max="8453" width="10" style="5" customWidth="1"/>
    <col min="8454" max="8454" width="8.85546875" style="5" customWidth="1"/>
    <col min="8455" max="8455" width="10.140625" style="5" customWidth="1"/>
    <col min="8456" max="8456" width="16.140625" style="5" customWidth="1"/>
    <col min="8457" max="8457" width="12.42578125" style="5" customWidth="1"/>
    <col min="8458" max="8458" width="6.85546875" style="5" customWidth="1"/>
    <col min="8459" max="8459" width="11.85546875" style="5" customWidth="1"/>
    <col min="8460" max="8460" width="10.85546875" style="5" customWidth="1"/>
    <col min="8461" max="8461" width="3.7109375" style="5" customWidth="1"/>
    <col min="8462" max="8462" width="4.7109375" style="5" customWidth="1"/>
    <col min="8463" max="8463" width="6.28515625" style="5" customWidth="1"/>
    <col min="8464" max="8704" width="11.42578125" style="5"/>
    <col min="8705" max="8705" width="17.140625" style="5" customWidth="1"/>
    <col min="8706" max="8706" width="13" style="5" customWidth="1"/>
    <col min="8707" max="8707" width="7.7109375" style="5" customWidth="1"/>
    <col min="8708" max="8708" width="14" style="5" customWidth="1"/>
    <col min="8709" max="8709" width="10" style="5" customWidth="1"/>
    <col min="8710" max="8710" width="8.85546875" style="5" customWidth="1"/>
    <col min="8711" max="8711" width="10.140625" style="5" customWidth="1"/>
    <col min="8712" max="8712" width="16.140625" style="5" customWidth="1"/>
    <col min="8713" max="8713" width="12.42578125" style="5" customWidth="1"/>
    <col min="8714" max="8714" width="6.85546875" style="5" customWidth="1"/>
    <col min="8715" max="8715" width="11.85546875" style="5" customWidth="1"/>
    <col min="8716" max="8716" width="10.85546875" style="5" customWidth="1"/>
    <col min="8717" max="8717" width="3.7109375" style="5" customWidth="1"/>
    <col min="8718" max="8718" width="4.7109375" style="5" customWidth="1"/>
    <col min="8719" max="8719" width="6.28515625" style="5" customWidth="1"/>
    <col min="8720" max="8960" width="11.42578125" style="5"/>
    <col min="8961" max="8961" width="17.140625" style="5" customWidth="1"/>
    <col min="8962" max="8962" width="13" style="5" customWidth="1"/>
    <col min="8963" max="8963" width="7.7109375" style="5" customWidth="1"/>
    <col min="8964" max="8964" width="14" style="5" customWidth="1"/>
    <col min="8965" max="8965" width="10" style="5" customWidth="1"/>
    <col min="8966" max="8966" width="8.85546875" style="5" customWidth="1"/>
    <col min="8967" max="8967" width="10.140625" style="5" customWidth="1"/>
    <col min="8968" max="8968" width="16.140625" style="5" customWidth="1"/>
    <col min="8969" max="8969" width="12.42578125" style="5" customWidth="1"/>
    <col min="8970" max="8970" width="6.85546875" style="5" customWidth="1"/>
    <col min="8971" max="8971" width="11.85546875" style="5" customWidth="1"/>
    <col min="8972" max="8972" width="10.85546875" style="5" customWidth="1"/>
    <col min="8973" max="8973" width="3.7109375" style="5" customWidth="1"/>
    <col min="8974" max="8974" width="4.7109375" style="5" customWidth="1"/>
    <col min="8975" max="8975" width="6.28515625" style="5" customWidth="1"/>
    <col min="8976" max="9216" width="11.42578125" style="5"/>
    <col min="9217" max="9217" width="17.140625" style="5" customWidth="1"/>
    <col min="9218" max="9218" width="13" style="5" customWidth="1"/>
    <col min="9219" max="9219" width="7.7109375" style="5" customWidth="1"/>
    <col min="9220" max="9220" width="14" style="5" customWidth="1"/>
    <col min="9221" max="9221" width="10" style="5" customWidth="1"/>
    <col min="9222" max="9222" width="8.85546875" style="5" customWidth="1"/>
    <col min="9223" max="9223" width="10.140625" style="5" customWidth="1"/>
    <col min="9224" max="9224" width="16.140625" style="5" customWidth="1"/>
    <col min="9225" max="9225" width="12.42578125" style="5" customWidth="1"/>
    <col min="9226" max="9226" width="6.85546875" style="5" customWidth="1"/>
    <col min="9227" max="9227" width="11.85546875" style="5" customWidth="1"/>
    <col min="9228" max="9228" width="10.85546875" style="5" customWidth="1"/>
    <col min="9229" max="9229" width="3.7109375" style="5" customWidth="1"/>
    <col min="9230" max="9230" width="4.7109375" style="5" customWidth="1"/>
    <col min="9231" max="9231" width="6.28515625" style="5" customWidth="1"/>
    <col min="9232" max="9472" width="11.42578125" style="5"/>
    <col min="9473" max="9473" width="17.140625" style="5" customWidth="1"/>
    <col min="9474" max="9474" width="13" style="5" customWidth="1"/>
    <col min="9475" max="9475" width="7.7109375" style="5" customWidth="1"/>
    <col min="9476" max="9476" width="14" style="5" customWidth="1"/>
    <col min="9477" max="9477" width="10" style="5" customWidth="1"/>
    <col min="9478" max="9478" width="8.85546875" style="5" customWidth="1"/>
    <col min="9479" max="9479" width="10.140625" style="5" customWidth="1"/>
    <col min="9480" max="9480" width="16.140625" style="5" customWidth="1"/>
    <col min="9481" max="9481" width="12.42578125" style="5" customWidth="1"/>
    <col min="9482" max="9482" width="6.85546875" style="5" customWidth="1"/>
    <col min="9483" max="9483" width="11.85546875" style="5" customWidth="1"/>
    <col min="9484" max="9484" width="10.85546875" style="5" customWidth="1"/>
    <col min="9485" max="9485" width="3.7109375" style="5" customWidth="1"/>
    <col min="9486" max="9486" width="4.7109375" style="5" customWidth="1"/>
    <col min="9487" max="9487" width="6.28515625" style="5" customWidth="1"/>
    <col min="9488" max="9728" width="11.42578125" style="5"/>
    <col min="9729" max="9729" width="17.140625" style="5" customWidth="1"/>
    <col min="9730" max="9730" width="13" style="5" customWidth="1"/>
    <col min="9731" max="9731" width="7.7109375" style="5" customWidth="1"/>
    <col min="9732" max="9732" width="14" style="5" customWidth="1"/>
    <col min="9733" max="9733" width="10" style="5" customWidth="1"/>
    <col min="9734" max="9734" width="8.85546875" style="5" customWidth="1"/>
    <col min="9735" max="9735" width="10.140625" style="5" customWidth="1"/>
    <col min="9736" max="9736" width="16.140625" style="5" customWidth="1"/>
    <col min="9737" max="9737" width="12.42578125" style="5" customWidth="1"/>
    <col min="9738" max="9738" width="6.85546875" style="5" customWidth="1"/>
    <col min="9739" max="9739" width="11.85546875" style="5" customWidth="1"/>
    <col min="9740" max="9740" width="10.85546875" style="5" customWidth="1"/>
    <col min="9741" max="9741" width="3.7109375" style="5" customWidth="1"/>
    <col min="9742" max="9742" width="4.7109375" style="5" customWidth="1"/>
    <col min="9743" max="9743" width="6.28515625" style="5" customWidth="1"/>
    <col min="9744" max="9984" width="11.42578125" style="5"/>
    <col min="9985" max="9985" width="17.140625" style="5" customWidth="1"/>
    <col min="9986" max="9986" width="13" style="5" customWidth="1"/>
    <col min="9987" max="9987" width="7.7109375" style="5" customWidth="1"/>
    <col min="9988" max="9988" width="14" style="5" customWidth="1"/>
    <col min="9989" max="9989" width="10" style="5" customWidth="1"/>
    <col min="9990" max="9990" width="8.85546875" style="5" customWidth="1"/>
    <col min="9991" max="9991" width="10.140625" style="5" customWidth="1"/>
    <col min="9992" max="9992" width="16.140625" style="5" customWidth="1"/>
    <col min="9993" max="9993" width="12.42578125" style="5" customWidth="1"/>
    <col min="9994" max="9994" width="6.85546875" style="5" customWidth="1"/>
    <col min="9995" max="9995" width="11.85546875" style="5" customWidth="1"/>
    <col min="9996" max="9996" width="10.85546875" style="5" customWidth="1"/>
    <col min="9997" max="9997" width="3.7109375" style="5" customWidth="1"/>
    <col min="9998" max="9998" width="4.7109375" style="5" customWidth="1"/>
    <col min="9999" max="9999" width="6.28515625" style="5" customWidth="1"/>
    <col min="10000" max="10240" width="11.42578125" style="5"/>
    <col min="10241" max="10241" width="17.140625" style="5" customWidth="1"/>
    <col min="10242" max="10242" width="13" style="5" customWidth="1"/>
    <col min="10243" max="10243" width="7.7109375" style="5" customWidth="1"/>
    <col min="10244" max="10244" width="14" style="5" customWidth="1"/>
    <col min="10245" max="10245" width="10" style="5" customWidth="1"/>
    <col min="10246" max="10246" width="8.85546875" style="5" customWidth="1"/>
    <col min="10247" max="10247" width="10.140625" style="5" customWidth="1"/>
    <col min="10248" max="10248" width="16.140625" style="5" customWidth="1"/>
    <col min="10249" max="10249" width="12.42578125" style="5" customWidth="1"/>
    <col min="10250" max="10250" width="6.85546875" style="5" customWidth="1"/>
    <col min="10251" max="10251" width="11.85546875" style="5" customWidth="1"/>
    <col min="10252" max="10252" width="10.85546875" style="5" customWidth="1"/>
    <col min="10253" max="10253" width="3.7109375" style="5" customWidth="1"/>
    <col min="10254" max="10254" width="4.7109375" style="5" customWidth="1"/>
    <col min="10255" max="10255" width="6.28515625" style="5" customWidth="1"/>
    <col min="10256" max="10496" width="11.42578125" style="5"/>
    <col min="10497" max="10497" width="17.140625" style="5" customWidth="1"/>
    <col min="10498" max="10498" width="13" style="5" customWidth="1"/>
    <col min="10499" max="10499" width="7.7109375" style="5" customWidth="1"/>
    <col min="10500" max="10500" width="14" style="5" customWidth="1"/>
    <col min="10501" max="10501" width="10" style="5" customWidth="1"/>
    <col min="10502" max="10502" width="8.85546875" style="5" customWidth="1"/>
    <col min="10503" max="10503" width="10.140625" style="5" customWidth="1"/>
    <col min="10504" max="10504" width="16.140625" style="5" customWidth="1"/>
    <col min="10505" max="10505" width="12.42578125" style="5" customWidth="1"/>
    <col min="10506" max="10506" width="6.85546875" style="5" customWidth="1"/>
    <col min="10507" max="10507" width="11.85546875" style="5" customWidth="1"/>
    <col min="10508" max="10508" width="10.85546875" style="5" customWidth="1"/>
    <col min="10509" max="10509" width="3.7109375" style="5" customWidth="1"/>
    <col min="10510" max="10510" width="4.7109375" style="5" customWidth="1"/>
    <col min="10511" max="10511" width="6.28515625" style="5" customWidth="1"/>
    <col min="10512" max="10752" width="11.42578125" style="5"/>
    <col min="10753" max="10753" width="17.140625" style="5" customWidth="1"/>
    <col min="10754" max="10754" width="13" style="5" customWidth="1"/>
    <col min="10755" max="10755" width="7.7109375" style="5" customWidth="1"/>
    <col min="10756" max="10756" width="14" style="5" customWidth="1"/>
    <col min="10757" max="10757" width="10" style="5" customWidth="1"/>
    <col min="10758" max="10758" width="8.85546875" style="5" customWidth="1"/>
    <col min="10759" max="10759" width="10.140625" style="5" customWidth="1"/>
    <col min="10760" max="10760" width="16.140625" style="5" customWidth="1"/>
    <col min="10761" max="10761" width="12.42578125" style="5" customWidth="1"/>
    <col min="10762" max="10762" width="6.85546875" style="5" customWidth="1"/>
    <col min="10763" max="10763" width="11.85546875" style="5" customWidth="1"/>
    <col min="10764" max="10764" width="10.85546875" style="5" customWidth="1"/>
    <col min="10765" max="10765" width="3.7109375" style="5" customWidth="1"/>
    <col min="10766" max="10766" width="4.7109375" style="5" customWidth="1"/>
    <col min="10767" max="10767" width="6.28515625" style="5" customWidth="1"/>
    <col min="10768" max="11008" width="11.42578125" style="5"/>
    <col min="11009" max="11009" width="17.140625" style="5" customWidth="1"/>
    <col min="11010" max="11010" width="13" style="5" customWidth="1"/>
    <col min="11011" max="11011" width="7.7109375" style="5" customWidth="1"/>
    <col min="11012" max="11012" width="14" style="5" customWidth="1"/>
    <col min="11013" max="11013" width="10" style="5" customWidth="1"/>
    <col min="11014" max="11014" width="8.85546875" style="5" customWidth="1"/>
    <col min="11015" max="11015" width="10.140625" style="5" customWidth="1"/>
    <col min="11016" max="11016" width="16.140625" style="5" customWidth="1"/>
    <col min="11017" max="11017" width="12.42578125" style="5" customWidth="1"/>
    <col min="11018" max="11018" width="6.85546875" style="5" customWidth="1"/>
    <col min="11019" max="11019" width="11.85546875" style="5" customWidth="1"/>
    <col min="11020" max="11020" width="10.85546875" style="5" customWidth="1"/>
    <col min="11021" max="11021" width="3.7109375" style="5" customWidth="1"/>
    <col min="11022" max="11022" width="4.7109375" style="5" customWidth="1"/>
    <col min="11023" max="11023" width="6.28515625" style="5" customWidth="1"/>
    <col min="11024" max="11264" width="11.42578125" style="5"/>
    <col min="11265" max="11265" width="17.140625" style="5" customWidth="1"/>
    <col min="11266" max="11266" width="13" style="5" customWidth="1"/>
    <col min="11267" max="11267" width="7.7109375" style="5" customWidth="1"/>
    <col min="11268" max="11268" width="14" style="5" customWidth="1"/>
    <col min="11269" max="11269" width="10" style="5" customWidth="1"/>
    <col min="11270" max="11270" width="8.85546875" style="5" customWidth="1"/>
    <col min="11271" max="11271" width="10.140625" style="5" customWidth="1"/>
    <col min="11272" max="11272" width="16.140625" style="5" customWidth="1"/>
    <col min="11273" max="11273" width="12.42578125" style="5" customWidth="1"/>
    <col min="11274" max="11274" width="6.85546875" style="5" customWidth="1"/>
    <col min="11275" max="11275" width="11.85546875" style="5" customWidth="1"/>
    <col min="11276" max="11276" width="10.85546875" style="5" customWidth="1"/>
    <col min="11277" max="11277" width="3.7109375" style="5" customWidth="1"/>
    <col min="11278" max="11278" width="4.7109375" style="5" customWidth="1"/>
    <col min="11279" max="11279" width="6.28515625" style="5" customWidth="1"/>
    <col min="11280" max="11520" width="11.42578125" style="5"/>
    <col min="11521" max="11521" width="17.140625" style="5" customWidth="1"/>
    <col min="11522" max="11522" width="13" style="5" customWidth="1"/>
    <col min="11523" max="11523" width="7.7109375" style="5" customWidth="1"/>
    <col min="11524" max="11524" width="14" style="5" customWidth="1"/>
    <col min="11525" max="11525" width="10" style="5" customWidth="1"/>
    <col min="11526" max="11526" width="8.85546875" style="5" customWidth="1"/>
    <col min="11527" max="11527" width="10.140625" style="5" customWidth="1"/>
    <col min="11528" max="11528" width="16.140625" style="5" customWidth="1"/>
    <col min="11529" max="11529" width="12.42578125" style="5" customWidth="1"/>
    <col min="11530" max="11530" width="6.85546875" style="5" customWidth="1"/>
    <col min="11531" max="11531" width="11.85546875" style="5" customWidth="1"/>
    <col min="11532" max="11532" width="10.85546875" style="5" customWidth="1"/>
    <col min="11533" max="11533" width="3.7109375" style="5" customWidth="1"/>
    <col min="11534" max="11534" width="4.7109375" style="5" customWidth="1"/>
    <col min="11535" max="11535" width="6.28515625" style="5" customWidth="1"/>
    <col min="11536" max="11776" width="11.42578125" style="5"/>
    <col min="11777" max="11777" width="17.140625" style="5" customWidth="1"/>
    <col min="11778" max="11778" width="13" style="5" customWidth="1"/>
    <col min="11779" max="11779" width="7.7109375" style="5" customWidth="1"/>
    <col min="11780" max="11780" width="14" style="5" customWidth="1"/>
    <col min="11781" max="11781" width="10" style="5" customWidth="1"/>
    <col min="11782" max="11782" width="8.85546875" style="5" customWidth="1"/>
    <col min="11783" max="11783" width="10.140625" style="5" customWidth="1"/>
    <col min="11784" max="11784" width="16.140625" style="5" customWidth="1"/>
    <col min="11785" max="11785" width="12.42578125" style="5" customWidth="1"/>
    <col min="11786" max="11786" width="6.85546875" style="5" customWidth="1"/>
    <col min="11787" max="11787" width="11.85546875" style="5" customWidth="1"/>
    <col min="11788" max="11788" width="10.85546875" style="5" customWidth="1"/>
    <col min="11789" max="11789" width="3.7109375" style="5" customWidth="1"/>
    <col min="11790" max="11790" width="4.7109375" style="5" customWidth="1"/>
    <col min="11791" max="11791" width="6.28515625" style="5" customWidth="1"/>
    <col min="11792" max="12032" width="11.42578125" style="5"/>
    <col min="12033" max="12033" width="17.140625" style="5" customWidth="1"/>
    <col min="12034" max="12034" width="13" style="5" customWidth="1"/>
    <col min="12035" max="12035" width="7.7109375" style="5" customWidth="1"/>
    <col min="12036" max="12036" width="14" style="5" customWidth="1"/>
    <col min="12037" max="12037" width="10" style="5" customWidth="1"/>
    <col min="12038" max="12038" width="8.85546875" style="5" customWidth="1"/>
    <col min="12039" max="12039" width="10.140625" style="5" customWidth="1"/>
    <col min="12040" max="12040" width="16.140625" style="5" customWidth="1"/>
    <col min="12041" max="12041" width="12.42578125" style="5" customWidth="1"/>
    <col min="12042" max="12042" width="6.85546875" style="5" customWidth="1"/>
    <col min="12043" max="12043" width="11.85546875" style="5" customWidth="1"/>
    <col min="12044" max="12044" width="10.85546875" style="5" customWidth="1"/>
    <col min="12045" max="12045" width="3.7109375" style="5" customWidth="1"/>
    <col min="12046" max="12046" width="4.7109375" style="5" customWidth="1"/>
    <col min="12047" max="12047" width="6.28515625" style="5" customWidth="1"/>
    <col min="12048" max="12288" width="11.42578125" style="5"/>
    <col min="12289" max="12289" width="17.140625" style="5" customWidth="1"/>
    <col min="12290" max="12290" width="13" style="5" customWidth="1"/>
    <col min="12291" max="12291" width="7.7109375" style="5" customWidth="1"/>
    <col min="12292" max="12292" width="14" style="5" customWidth="1"/>
    <col min="12293" max="12293" width="10" style="5" customWidth="1"/>
    <col min="12294" max="12294" width="8.85546875" style="5" customWidth="1"/>
    <col min="12295" max="12295" width="10.140625" style="5" customWidth="1"/>
    <col min="12296" max="12296" width="16.140625" style="5" customWidth="1"/>
    <col min="12297" max="12297" width="12.42578125" style="5" customWidth="1"/>
    <col min="12298" max="12298" width="6.85546875" style="5" customWidth="1"/>
    <col min="12299" max="12299" width="11.85546875" style="5" customWidth="1"/>
    <col min="12300" max="12300" width="10.85546875" style="5" customWidth="1"/>
    <col min="12301" max="12301" width="3.7109375" style="5" customWidth="1"/>
    <col min="12302" max="12302" width="4.7109375" style="5" customWidth="1"/>
    <col min="12303" max="12303" width="6.28515625" style="5" customWidth="1"/>
    <col min="12304" max="12544" width="11.42578125" style="5"/>
    <col min="12545" max="12545" width="17.140625" style="5" customWidth="1"/>
    <col min="12546" max="12546" width="13" style="5" customWidth="1"/>
    <col min="12547" max="12547" width="7.7109375" style="5" customWidth="1"/>
    <col min="12548" max="12548" width="14" style="5" customWidth="1"/>
    <col min="12549" max="12549" width="10" style="5" customWidth="1"/>
    <col min="12550" max="12550" width="8.85546875" style="5" customWidth="1"/>
    <col min="12551" max="12551" width="10.140625" style="5" customWidth="1"/>
    <col min="12552" max="12552" width="16.140625" style="5" customWidth="1"/>
    <col min="12553" max="12553" width="12.42578125" style="5" customWidth="1"/>
    <col min="12554" max="12554" width="6.85546875" style="5" customWidth="1"/>
    <col min="12555" max="12555" width="11.85546875" style="5" customWidth="1"/>
    <col min="12556" max="12556" width="10.85546875" style="5" customWidth="1"/>
    <col min="12557" max="12557" width="3.7109375" style="5" customWidth="1"/>
    <col min="12558" max="12558" width="4.7109375" style="5" customWidth="1"/>
    <col min="12559" max="12559" width="6.28515625" style="5" customWidth="1"/>
    <col min="12560" max="12800" width="11.42578125" style="5"/>
    <col min="12801" max="12801" width="17.140625" style="5" customWidth="1"/>
    <col min="12802" max="12802" width="13" style="5" customWidth="1"/>
    <col min="12803" max="12803" width="7.7109375" style="5" customWidth="1"/>
    <col min="12804" max="12804" width="14" style="5" customWidth="1"/>
    <col min="12805" max="12805" width="10" style="5" customWidth="1"/>
    <col min="12806" max="12806" width="8.85546875" style="5" customWidth="1"/>
    <col min="12807" max="12807" width="10.140625" style="5" customWidth="1"/>
    <col min="12808" max="12808" width="16.140625" style="5" customWidth="1"/>
    <col min="12809" max="12809" width="12.42578125" style="5" customWidth="1"/>
    <col min="12810" max="12810" width="6.85546875" style="5" customWidth="1"/>
    <col min="12811" max="12811" width="11.85546875" style="5" customWidth="1"/>
    <col min="12812" max="12812" width="10.85546875" style="5" customWidth="1"/>
    <col min="12813" max="12813" width="3.7109375" style="5" customWidth="1"/>
    <col min="12814" max="12814" width="4.7109375" style="5" customWidth="1"/>
    <col min="12815" max="12815" width="6.28515625" style="5" customWidth="1"/>
    <col min="12816" max="13056" width="11.42578125" style="5"/>
    <col min="13057" max="13057" width="17.140625" style="5" customWidth="1"/>
    <col min="13058" max="13058" width="13" style="5" customWidth="1"/>
    <col min="13059" max="13059" width="7.7109375" style="5" customWidth="1"/>
    <col min="13060" max="13060" width="14" style="5" customWidth="1"/>
    <col min="13061" max="13061" width="10" style="5" customWidth="1"/>
    <col min="13062" max="13062" width="8.85546875" style="5" customWidth="1"/>
    <col min="13063" max="13063" width="10.140625" style="5" customWidth="1"/>
    <col min="13064" max="13064" width="16.140625" style="5" customWidth="1"/>
    <col min="13065" max="13065" width="12.42578125" style="5" customWidth="1"/>
    <col min="13066" max="13066" width="6.85546875" style="5" customWidth="1"/>
    <col min="13067" max="13067" width="11.85546875" style="5" customWidth="1"/>
    <col min="13068" max="13068" width="10.85546875" style="5" customWidth="1"/>
    <col min="13069" max="13069" width="3.7109375" style="5" customWidth="1"/>
    <col min="13070" max="13070" width="4.7109375" style="5" customWidth="1"/>
    <col min="13071" max="13071" width="6.28515625" style="5" customWidth="1"/>
    <col min="13072" max="13312" width="11.42578125" style="5"/>
    <col min="13313" max="13313" width="17.140625" style="5" customWidth="1"/>
    <col min="13314" max="13314" width="13" style="5" customWidth="1"/>
    <col min="13315" max="13315" width="7.7109375" style="5" customWidth="1"/>
    <col min="13316" max="13316" width="14" style="5" customWidth="1"/>
    <col min="13317" max="13317" width="10" style="5" customWidth="1"/>
    <col min="13318" max="13318" width="8.85546875" style="5" customWidth="1"/>
    <col min="13319" max="13319" width="10.140625" style="5" customWidth="1"/>
    <col min="13320" max="13320" width="16.140625" style="5" customWidth="1"/>
    <col min="13321" max="13321" width="12.42578125" style="5" customWidth="1"/>
    <col min="13322" max="13322" width="6.85546875" style="5" customWidth="1"/>
    <col min="13323" max="13323" width="11.85546875" style="5" customWidth="1"/>
    <col min="13324" max="13324" width="10.85546875" style="5" customWidth="1"/>
    <col min="13325" max="13325" width="3.7109375" style="5" customWidth="1"/>
    <col min="13326" max="13326" width="4.7109375" style="5" customWidth="1"/>
    <col min="13327" max="13327" width="6.28515625" style="5" customWidth="1"/>
    <col min="13328" max="13568" width="11.42578125" style="5"/>
    <col min="13569" max="13569" width="17.140625" style="5" customWidth="1"/>
    <col min="13570" max="13570" width="13" style="5" customWidth="1"/>
    <col min="13571" max="13571" width="7.7109375" style="5" customWidth="1"/>
    <col min="13572" max="13572" width="14" style="5" customWidth="1"/>
    <col min="13573" max="13573" width="10" style="5" customWidth="1"/>
    <col min="13574" max="13574" width="8.85546875" style="5" customWidth="1"/>
    <col min="13575" max="13575" width="10.140625" style="5" customWidth="1"/>
    <col min="13576" max="13576" width="16.140625" style="5" customWidth="1"/>
    <col min="13577" max="13577" width="12.42578125" style="5" customWidth="1"/>
    <col min="13578" max="13578" width="6.85546875" style="5" customWidth="1"/>
    <col min="13579" max="13579" width="11.85546875" style="5" customWidth="1"/>
    <col min="13580" max="13580" width="10.85546875" style="5" customWidth="1"/>
    <col min="13581" max="13581" width="3.7109375" style="5" customWidth="1"/>
    <col min="13582" max="13582" width="4.7109375" style="5" customWidth="1"/>
    <col min="13583" max="13583" width="6.28515625" style="5" customWidth="1"/>
    <col min="13584" max="13824" width="11.42578125" style="5"/>
    <col min="13825" max="13825" width="17.140625" style="5" customWidth="1"/>
    <col min="13826" max="13826" width="13" style="5" customWidth="1"/>
    <col min="13827" max="13827" width="7.7109375" style="5" customWidth="1"/>
    <col min="13828" max="13828" width="14" style="5" customWidth="1"/>
    <col min="13829" max="13829" width="10" style="5" customWidth="1"/>
    <col min="13830" max="13830" width="8.85546875" style="5" customWidth="1"/>
    <col min="13831" max="13831" width="10.140625" style="5" customWidth="1"/>
    <col min="13832" max="13832" width="16.140625" style="5" customWidth="1"/>
    <col min="13833" max="13833" width="12.42578125" style="5" customWidth="1"/>
    <col min="13834" max="13834" width="6.85546875" style="5" customWidth="1"/>
    <col min="13835" max="13835" width="11.85546875" style="5" customWidth="1"/>
    <col min="13836" max="13836" width="10.85546875" style="5" customWidth="1"/>
    <col min="13837" max="13837" width="3.7109375" style="5" customWidth="1"/>
    <col min="13838" max="13838" width="4.7109375" style="5" customWidth="1"/>
    <col min="13839" max="13839" width="6.28515625" style="5" customWidth="1"/>
    <col min="13840" max="14080" width="11.42578125" style="5"/>
    <col min="14081" max="14081" width="17.140625" style="5" customWidth="1"/>
    <col min="14082" max="14082" width="13" style="5" customWidth="1"/>
    <col min="14083" max="14083" width="7.7109375" style="5" customWidth="1"/>
    <col min="14084" max="14084" width="14" style="5" customWidth="1"/>
    <col min="14085" max="14085" width="10" style="5" customWidth="1"/>
    <col min="14086" max="14086" width="8.85546875" style="5" customWidth="1"/>
    <col min="14087" max="14087" width="10.140625" style="5" customWidth="1"/>
    <col min="14088" max="14088" width="16.140625" style="5" customWidth="1"/>
    <col min="14089" max="14089" width="12.42578125" style="5" customWidth="1"/>
    <col min="14090" max="14090" width="6.85546875" style="5" customWidth="1"/>
    <col min="14091" max="14091" width="11.85546875" style="5" customWidth="1"/>
    <col min="14092" max="14092" width="10.85546875" style="5" customWidth="1"/>
    <col min="14093" max="14093" width="3.7109375" style="5" customWidth="1"/>
    <col min="14094" max="14094" width="4.7109375" style="5" customWidth="1"/>
    <col min="14095" max="14095" width="6.28515625" style="5" customWidth="1"/>
    <col min="14096" max="14336" width="11.42578125" style="5"/>
    <col min="14337" max="14337" width="17.140625" style="5" customWidth="1"/>
    <col min="14338" max="14338" width="13" style="5" customWidth="1"/>
    <col min="14339" max="14339" width="7.7109375" style="5" customWidth="1"/>
    <col min="14340" max="14340" width="14" style="5" customWidth="1"/>
    <col min="14341" max="14341" width="10" style="5" customWidth="1"/>
    <col min="14342" max="14342" width="8.85546875" style="5" customWidth="1"/>
    <col min="14343" max="14343" width="10.140625" style="5" customWidth="1"/>
    <col min="14344" max="14344" width="16.140625" style="5" customWidth="1"/>
    <col min="14345" max="14345" width="12.42578125" style="5" customWidth="1"/>
    <col min="14346" max="14346" width="6.85546875" style="5" customWidth="1"/>
    <col min="14347" max="14347" width="11.85546875" style="5" customWidth="1"/>
    <col min="14348" max="14348" width="10.85546875" style="5" customWidth="1"/>
    <col min="14349" max="14349" width="3.7109375" style="5" customWidth="1"/>
    <col min="14350" max="14350" width="4.7109375" style="5" customWidth="1"/>
    <col min="14351" max="14351" width="6.28515625" style="5" customWidth="1"/>
    <col min="14352" max="14592" width="11.42578125" style="5"/>
    <col min="14593" max="14593" width="17.140625" style="5" customWidth="1"/>
    <col min="14594" max="14594" width="13" style="5" customWidth="1"/>
    <col min="14595" max="14595" width="7.7109375" style="5" customWidth="1"/>
    <col min="14596" max="14596" width="14" style="5" customWidth="1"/>
    <col min="14597" max="14597" width="10" style="5" customWidth="1"/>
    <col min="14598" max="14598" width="8.85546875" style="5" customWidth="1"/>
    <col min="14599" max="14599" width="10.140625" style="5" customWidth="1"/>
    <col min="14600" max="14600" width="16.140625" style="5" customWidth="1"/>
    <col min="14601" max="14601" width="12.42578125" style="5" customWidth="1"/>
    <col min="14602" max="14602" width="6.85546875" style="5" customWidth="1"/>
    <col min="14603" max="14603" width="11.85546875" style="5" customWidth="1"/>
    <col min="14604" max="14604" width="10.85546875" style="5" customWidth="1"/>
    <col min="14605" max="14605" width="3.7109375" style="5" customWidth="1"/>
    <col min="14606" max="14606" width="4.7109375" style="5" customWidth="1"/>
    <col min="14607" max="14607" width="6.28515625" style="5" customWidth="1"/>
    <col min="14608" max="14848" width="11.42578125" style="5"/>
    <col min="14849" max="14849" width="17.140625" style="5" customWidth="1"/>
    <col min="14850" max="14850" width="13" style="5" customWidth="1"/>
    <col min="14851" max="14851" width="7.7109375" style="5" customWidth="1"/>
    <col min="14852" max="14852" width="14" style="5" customWidth="1"/>
    <col min="14853" max="14853" width="10" style="5" customWidth="1"/>
    <col min="14854" max="14854" width="8.85546875" style="5" customWidth="1"/>
    <col min="14855" max="14855" width="10.140625" style="5" customWidth="1"/>
    <col min="14856" max="14856" width="16.140625" style="5" customWidth="1"/>
    <col min="14857" max="14857" width="12.42578125" style="5" customWidth="1"/>
    <col min="14858" max="14858" width="6.85546875" style="5" customWidth="1"/>
    <col min="14859" max="14859" width="11.85546875" style="5" customWidth="1"/>
    <col min="14860" max="14860" width="10.85546875" style="5" customWidth="1"/>
    <col min="14861" max="14861" width="3.7109375" style="5" customWidth="1"/>
    <col min="14862" max="14862" width="4.7109375" style="5" customWidth="1"/>
    <col min="14863" max="14863" width="6.28515625" style="5" customWidth="1"/>
    <col min="14864" max="15104" width="11.42578125" style="5"/>
    <col min="15105" max="15105" width="17.140625" style="5" customWidth="1"/>
    <col min="15106" max="15106" width="13" style="5" customWidth="1"/>
    <col min="15107" max="15107" width="7.7109375" style="5" customWidth="1"/>
    <col min="15108" max="15108" width="14" style="5" customWidth="1"/>
    <col min="15109" max="15109" width="10" style="5" customWidth="1"/>
    <col min="15110" max="15110" width="8.85546875" style="5" customWidth="1"/>
    <col min="15111" max="15111" width="10.140625" style="5" customWidth="1"/>
    <col min="15112" max="15112" width="16.140625" style="5" customWidth="1"/>
    <col min="15113" max="15113" width="12.42578125" style="5" customWidth="1"/>
    <col min="15114" max="15114" width="6.85546875" style="5" customWidth="1"/>
    <col min="15115" max="15115" width="11.85546875" style="5" customWidth="1"/>
    <col min="15116" max="15116" width="10.85546875" style="5" customWidth="1"/>
    <col min="15117" max="15117" width="3.7109375" style="5" customWidth="1"/>
    <col min="15118" max="15118" width="4.7109375" style="5" customWidth="1"/>
    <col min="15119" max="15119" width="6.28515625" style="5" customWidth="1"/>
    <col min="15120" max="15360" width="11.42578125" style="5"/>
    <col min="15361" max="15361" width="17.140625" style="5" customWidth="1"/>
    <col min="15362" max="15362" width="13" style="5" customWidth="1"/>
    <col min="15363" max="15363" width="7.7109375" style="5" customWidth="1"/>
    <col min="15364" max="15364" width="14" style="5" customWidth="1"/>
    <col min="15365" max="15365" width="10" style="5" customWidth="1"/>
    <col min="15366" max="15366" width="8.85546875" style="5" customWidth="1"/>
    <col min="15367" max="15367" width="10.140625" style="5" customWidth="1"/>
    <col min="15368" max="15368" width="16.140625" style="5" customWidth="1"/>
    <col min="15369" max="15369" width="12.42578125" style="5" customWidth="1"/>
    <col min="15370" max="15370" width="6.85546875" style="5" customWidth="1"/>
    <col min="15371" max="15371" width="11.85546875" style="5" customWidth="1"/>
    <col min="15372" max="15372" width="10.85546875" style="5" customWidth="1"/>
    <col min="15373" max="15373" width="3.7109375" style="5" customWidth="1"/>
    <col min="15374" max="15374" width="4.7109375" style="5" customWidth="1"/>
    <col min="15375" max="15375" width="6.28515625" style="5" customWidth="1"/>
    <col min="15376" max="15616" width="11.42578125" style="5"/>
    <col min="15617" max="15617" width="17.140625" style="5" customWidth="1"/>
    <col min="15618" max="15618" width="13" style="5" customWidth="1"/>
    <col min="15619" max="15619" width="7.7109375" style="5" customWidth="1"/>
    <col min="15620" max="15620" width="14" style="5" customWidth="1"/>
    <col min="15621" max="15621" width="10" style="5" customWidth="1"/>
    <col min="15622" max="15622" width="8.85546875" style="5" customWidth="1"/>
    <col min="15623" max="15623" width="10.140625" style="5" customWidth="1"/>
    <col min="15624" max="15624" width="16.140625" style="5" customWidth="1"/>
    <col min="15625" max="15625" width="12.42578125" style="5" customWidth="1"/>
    <col min="15626" max="15626" width="6.85546875" style="5" customWidth="1"/>
    <col min="15627" max="15627" width="11.85546875" style="5" customWidth="1"/>
    <col min="15628" max="15628" width="10.85546875" style="5" customWidth="1"/>
    <col min="15629" max="15629" width="3.7109375" style="5" customWidth="1"/>
    <col min="15630" max="15630" width="4.7109375" style="5" customWidth="1"/>
    <col min="15631" max="15631" width="6.28515625" style="5" customWidth="1"/>
    <col min="15632" max="15872" width="11.42578125" style="5"/>
    <col min="15873" max="15873" width="17.140625" style="5" customWidth="1"/>
    <col min="15874" max="15874" width="13" style="5" customWidth="1"/>
    <col min="15875" max="15875" width="7.7109375" style="5" customWidth="1"/>
    <col min="15876" max="15876" width="14" style="5" customWidth="1"/>
    <col min="15877" max="15877" width="10" style="5" customWidth="1"/>
    <col min="15878" max="15878" width="8.85546875" style="5" customWidth="1"/>
    <col min="15879" max="15879" width="10.140625" style="5" customWidth="1"/>
    <col min="15880" max="15880" width="16.140625" style="5" customWidth="1"/>
    <col min="15881" max="15881" width="12.42578125" style="5" customWidth="1"/>
    <col min="15882" max="15882" width="6.85546875" style="5" customWidth="1"/>
    <col min="15883" max="15883" width="11.85546875" style="5" customWidth="1"/>
    <col min="15884" max="15884" width="10.85546875" style="5" customWidth="1"/>
    <col min="15885" max="15885" width="3.7109375" style="5" customWidth="1"/>
    <col min="15886" max="15886" width="4.7109375" style="5" customWidth="1"/>
    <col min="15887" max="15887" width="6.28515625" style="5" customWidth="1"/>
    <col min="15888" max="16128" width="11.42578125" style="5"/>
    <col min="16129" max="16129" width="17.140625" style="5" customWidth="1"/>
    <col min="16130" max="16130" width="13" style="5" customWidth="1"/>
    <col min="16131" max="16131" width="7.7109375" style="5" customWidth="1"/>
    <col min="16132" max="16132" width="14" style="5" customWidth="1"/>
    <col min="16133" max="16133" width="10" style="5" customWidth="1"/>
    <col min="16134" max="16134" width="8.85546875" style="5" customWidth="1"/>
    <col min="16135" max="16135" width="10.140625" style="5" customWidth="1"/>
    <col min="16136" max="16136" width="16.140625" style="5" customWidth="1"/>
    <col min="16137" max="16137" width="12.42578125" style="5" customWidth="1"/>
    <col min="16138" max="16138" width="6.85546875" style="5" customWidth="1"/>
    <col min="16139" max="16139" width="11.85546875" style="5" customWidth="1"/>
    <col min="16140" max="16140" width="10.85546875" style="5" customWidth="1"/>
    <col min="16141" max="16141" width="3.7109375" style="5" customWidth="1"/>
    <col min="16142" max="16142" width="4.7109375" style="5" customWidth="1"/>
    <col min="16143" max="16143" width="6.28515625" style="5" customWidth="1"/>
    <col min="16144" max="16384" width="11.42578125" style="5"/>
  </cols>
  <sheetData>
    <row r="1" spans="1:17">
      <c r="A1" s="563" t="s">
        <v>385</v>
      </c>
      <c r="K1" s="561" t="s">
        <v>386</v>
      </c>
      <c r="L1" s="561"/>
      <c r="M1" s="6">
        <v>70</v>
      </c>
      <c r="N1" s="7">
        <v>12</v>
      </c>
      <c r="O1" s="8">
        <f>+M1/N1</f>
        <v>5.833333333333333</v>
      </c>
      <c r="P1" s="562" t="s">
        <v>387</v>
      </c>
      <c r="Q1" s="562"/>
    </row>
    <row r="2" spans="1:17">
      <c r="A2" s="564"/>
      <c r="K2" s="561" t="s">
        <v>388</v>
      </c>
      <c r="L2" s="561"/>
      <c r="M2" s="6">
        <f>56-48</f>
        <v>8</v>
      </c>
      <c r="N2" s="7">
        <v>5.83</v>
      </c>
      <c r="O2" s="8">
        <f>+M2*N2</f>
        <v>46.64</v>
      </c>
      <c r="P2" s="562" t="s">
        <v>389</v>
      </c>
      <c r="Q2" s="562"/>
    </row>
    <row r="3" spans="1:17">
      <c r="K3" s="561" t="s">
        <v>390</v>
      </c>
      <c r="L3" s="561"/>
      <c r="M3" s="6">
        <f>52-48</f>
        <v>4</v>
      </c>
      <c r="N3" s="7">
        <v>4</v>
      </c>
      <c r="O3" s="9">
        <f>+M3*N3</f>
        <v>16</v>
      </c>
      <c r="P3" s="562" t="s">
        <v>391</v>
      </c>
      <c r="Q3" s="562"/>
    </row>
    <row r="4" spans="1:17">
      <c r="A4" s="10" t="s">
        <v>392</v>
      </c>
      <c r="B4" s="11" t="s">
        <v>393</v>
      </c>
      <c r="K4" s="561" t="s">
        <v>394</v>
      </c>
      <c r="L4" s="561"/>
      <c r="M4" s="6">
        <v>25</v>
      </c>
      <c r="N4" s="7">
        <v>5.83</v>
      </c>
      <c r="O4" s="8">
        <f>+M4*N4</f>
        <v>145.75</v>
      </c>
      <c r="P4" s="562" t="s">
        <v>395</v>
      </c>
      <c r="Q4" s="562"/>
    </row>
    <row r="5" spans="1:17">
      <c r="A5" s="12">
        <v>144043</v>
      </c>
      <c r="B5" s="11">
        <f>+A5*0.15%</f>
        <v>216.06450000000001</v>
      </c>
      <c r="C5" s="11" t="s">
        <v>396</v>
      </c>
      <c r="K5" s="561" t="s">
        <v>397</v>
      </c>
      <c r="L5" s="561"/>
      <c r="M5" s="6">
        <v>20</v>
      </c>
      <c r="N5" s="7">
        <v>5.83</v>
      </c>
      <c r="O5" s="8">
        <f>+M5*N5</f>
        <v>116.6</v>
      </c>
      <c r="P5" s="562" t="s">
        <v>398</v>
      </c>
      <c r="Q5" s="562"/>
    </row>
    <row r="6" spans="1:17">
      <c r="B6" s="12">
        <v>4000</v>
      </c>
      <c r="C6" s="12" t="s">
        <v>399</v>
      </c>
      <c r="D6" s="12" t="s">
        <v>400</v>
      </c>
    </row>
    <row r="7" spans="1:17">
      <c r="B7" s="12">
        <f>+B5+B6</f>
        <v>4216.0645000000004</v>
      </c>
    </row>
    <row r="8" spans="1:17">
      <c r="B8" s="13">
        <f>+B7*1.16</f>
        <v>4890.6348200000002</v>
      </c>
    </row>
    <row r="10" spans="1:17">
      <c r="A10" s="14" t="s">
        <v>401</v>
      </c>
    </row>
    <row r="11" spans="1:17" ht="22.5">
      <c r="A11" s="15">
        <f>+A30</f>
        <v>498316306.818358</v>
      </c>
      <c r="B11" s="16" t="s">
        <v>402</v>
      </c>
      <c r="C11" s="17" t="s">
        <v>403</v>
      </c>
      <c r="D11" s="15" t="s">
        <v>404</v>
      </c>
      <c r="E11" s="18" t="s">
        <v>405</v>
      </c>
      <c r="F11" s="15" t="s">
        <v>406</v>
      </c>
      <c r="G11" s="17" t="s">
        <v>407</v>
      </c>
      <c r="H11" s="15" t="s">
        <v>408</v>
      </c>
      <c r="I11" s="15" t="s">
        <v>409</v>
      </c>
    </row>
    <row r="12" spans="1:17">
      <c r="B12" s="12" t="s">
        <v>410</v>
      </c>
      <c r="C12" s="19">
        <v>20</v>
      </c>
      <c r="D12" s="12">
        <f>+A11*C12/100</f>
        <v>99663261.363671601</v>
      </c>
      <c r="E12" s="20">
        <f>+A29</f>
        <v>4</v>
      </c>
      <c r="F12" s="21">
        <f>+E12+6</f>
        <v>10</v>
      </c>
      <c r="G12" s="22">
        <v>0.2</v>
      </c>
      <c r="H12" s="12">
        <f>+D12*G12/100</f>
        <v>199326.52272734322</v>
      </c>
      <c r="I12" s="12">
        <f>+D12*G12/100/12*+F12</f>
        <v>166105.43560611934</v>
      </c>
    </row>
    <row r="13" spans="1:17">
      <c r="B13" s="12" t="s">
        <v>411</v>
      </c>
      <c r="C13" s="19">
        <v>10</v>
      </c>
      <c r="D13" s="12">
        <f>+A11*C13/100</f>
        <v>49831630.6818358</v>
      </c>
      <c r="E13" s="20">
        <f>+A29</f>
        <v>4</v>
      </c>
      <c r="F13" s="21">
        <f>+E13+6</f>
        <v>10</v>
      </c>
      <c r="G13" s="22">
        <v>0.2</v>
      </c>
      <c r="H13" s="12">
        <f>+D13*G13/100</f>
        <v>99663.261363671612</v>
      </c>
      <c r="I13" s="12">
        <f>+D13*G13/100/12*+F13</f>
        <v>83052.71780305967</v>
      </c>
    </row>
    <row r="14" spans="1:17">
      <c r="B14" s="12" t="s">
        <v>412</v>
      </c>
      <c r="C14" s="19">
        <v>15</v>
      </c>
      <c r="D14" s="12">
        <f>+A11*C14/100</f>
        <v>74747446.022753701</v>
      </c>
      <c r="E14" s="20">
        <f>+A29</f>
        <v>4</v>
      </c>
      <c r="F14" s="21">
        <f>+E14+36</f>
        <v>40</v>
      </c>
      <c r="G14" s="22">
        <v>0.2</v>
      </c>
      <c r="H14" s="12">
        <f>+D14*G14/100</f>
        <v>149494.89204550741</v>
      </c>
      <c r="I14" s="12">
        <f>+D14*G14/100/12*+F14</f>
        <v>498316.30681835808</v>
      </c>
    </row>
    <row r="15" spans="1:17">
      <c r="F15" s="23"/>
      <c r="H15" s="12" t="s">
        <v>413</v>
      </c>
      <c r="I15" s="12">
        <f>SUM(I12:I14)</f>
        <v>747474.46022753709</v>
      </c>
    </row>
    <row r="16" spans="1:17">
      <c r="F16" s="23"/>
      <c r="H16" s="12" t="s">
        <v>414</v>
      </c>
      <c r="I16" s="12">
        <v>4000</v>
      </c>
    </row>
    <row r="17" spans="1:13">
      <c r="F17" s="23"/>
      <c r="H17" s="12"/>
      <c r="I17" s="12">
        <f>SUM(I15:I16)</f>
        <v>751474.46022753709</v>
      </c>
    </row>
    <row r="18" spans="1:13">
      <c r="F18" s="23"/>
      <c r="H18" s="12" t="s">
        <v>415</v>
      </c>
      <c r="I18" s="13">
        <f>+I17*1.19</f>
        <v>894254.6076707691</v>
      </c>
    </row>
    <row r="19" spans="1:13">
      <c r="B19" s="12" t="s">
        <v>416</v>
      </c>
      <c r="C19" s="19">
        <v>20</v>
      </c>
      <c r="D19" s="12">
        <f>+A11*C19/100</f>
        <v>99663261.363671601</v>
      </c>
      <c r="E19" s="20">
        <f>+A29</f>
        <v>4</v>
      </c>
      <c r="F19" s="21">
        <f>+E19</f>
        <v>4</v>
      </c>
      <c r="G19" s="22">
        <v>0.2</v>
      </c>
      <c r="H19" s="12">
        <f>+D19*G19/100</f>
        <v>199326.52272734322</v>
      </c>
      <c r="I19" s="12">
        <f>+D19*G19/100/12*+F19</f>
        <v>66442.174242447742</v>
      </c>
      <c r="J19" s="12" t="s">
        <v>413</v>
      </c>
    </row>
    <row r="20" spans="1:13">
      <c r="H20" s="12" t="s">
        <v>415</v>
      </c>
      <c r="I20" s="13">
        <f>+I19*1.19</f>
        <v>79066.187348512802</v>
      </c>
    </row>
    <row r="21" spans="1:13">
      <c r="G21" s="24"/>
      <c r="H21" s="25" t="s">
        <v>417</v>
      </c>
      <c r="I21" s="14">
        <f>+I20+I18</f>
        <v>973320.79501928191</v>
      </c>
    </row>
    <row r="23" spans="1:13">
      <c r="C23" s="24"/>
      <c r="G23" s="565" t="s">
        <v>418</v>
      </c>
      <c r="H23" s="566"/>
      <c r="I23" s="26">
        <f>+I21</f>
        <v>973320.79501928191</v>
      </c>
    </row>
    <row r="24" spans="1:13">
      <c r="A24" s="27"/>
      <c r="B24" s="27"/>
      <c r="C24" s="28"/>
      <c r="G24" s="565" t="s">
        <v>419</v>
      </c>
      <c r="H24" s="566"/>
      <c r="I24" s="26">
        <f>+B8</f>
        <v>4890.6348200000002</v>
      </c>
    </row>
    <row r="25" spans="1:13">
      <c r="A25" s="27"/>
      <c r="B25" s="27"/>
      <c r="C25" s="28"/>
      <c r="G25" s="567" t="s">
        <v>420</v>
      </c>
      <c r="H25" s="567"/>
      <c r="I25" s="29">
        <f>+I23+I24</f>
        <v>978211.42983928195</v>
      </c>
    </row>
    <row r="26" spans="1:13">
      <c r="C26" s="28"/>
      <c r="G26" s="568"/>
      <c r="H26" s="568"/>
      <c r="I26" s="30">
        <v>0</v>
      </c>
    </row>
    <row r="27" spans="1:13">
      <c r="C27" s="28"/>
      <c r="G27" s="569" t="s">
        <v>421</v>
      </c>
      <c r="H27" s="569"/>
      <c r="I27" s="31">
        <f>+A11*J27</f>
        <v>0</v>
      </c>
      <c r="J27" s="32">
        <v>0</v>
      </c>
      <c r="K27" s="33"/>
      <c r="L27" s="33"/>
      <c r="M27" s="33"/>
    </row>
    <row r="28" spans="1:13">
      <c r="A28" s="34">
        <f>+D28/A29</f>
        <v>124579076.7045895</v>
      </c>
      <c r="B28" s="35" t="s">
        <v>422</v>
      </c>
      <c r="D28" s="36">
        <f>+'Evento Cotiz'!D475</f>
        <v>498316306.818358</v>
      </c>
      <c r="G28" s="570" t="s">
        <v>423</v>
      </c>
      <c r="H28" s="571"/>
      <c r="I28" s="29">
        <f>SUM(I25:I27)</f>
        <v>978211.42983928195</v>
      </c>
    </row>
    <row r="29" spans="1:13">
      <c r="A29" s="37">
        <f>+'Evento Cotiz'!B6</f>
        <v>4</v>
      </c>
      <c r="B29" s="38" t="s">
        <v>424</v>
      </c>
      <c r="G29" s="18" t="s">
        <v>424</v>
      </c>
      <c r="H29" s="20">
        <f>+A29</f>
        <v>4</v>
      </c>
      <c r="I29" s="39">
        <f>+I28/H29</f>
        <v>244552.85745982049</v>
      </c>
    </row>
    <row r="30" spans="1:13">
      <c r="A30" s="40">
        <f>+A28*A29</f>
        <v>498316306.818358</v>
      </c>
      <c r="B30" s="41" t="s">
        <v>425</v>
      </c>
      <c r="G30" s="18" t="s">
        <v>426</v>
      </c>
      <c r="H30" s="20">
        <f>+A31</f>
        <v>40</v>
      </c>
      <c r="I30" s="42">
        <f>+I29/H30</f>
        <v>6113.821436495512</v>
      </c>
    </row>
    <row r="31" spans="1:13">
      <c r="A31" s="37">
        <f>+'Evento Cotiz'!E1+'Evento Cotiz'!G1</f>
        <v>40</v>
      </c>
      <c r="B31" s="38" t="s">
        <v>427</v>
      </c>
    </row>
  </sheetData>
  <mergeCells count="17">
    <mergeCell ref="G25:H25"/>
    <mergeCell ref="G26:H26"/>
    <mergeCell ref="G27:H27"/>
    <mergeCell ref="G28:H28"/>
    <mergeCell ref="K4:L4"/>
    <mergeCell ref="P4:Q4"/>
    <mergeCell ref="K5:L5"/>
    <mergeCell ref="P5:Q5"/>
    <mergeCell ref="G23:H23"/>
    <mergeCell ref="G24:H24"/>
    <mergeCell ref="K3:L3"/>
    <mergeCell ref="P3:Q3"/>
    <mergeCell ref="A1:A2"/>
    <mergeCell ref="K1:L1"/>
    <mergeCell ref="P1:Q1"/>
    <mergeCell ref="K2:L2"/>
    <mergeCell ref="P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2:U447"/>
  <sheetViews>
    <sheetView tabSelected="1" workbookViewId="0">
      <selection activeCell="C35" sqref="C35"/>
    </sheetView>
  </sheetViews>
  <sheetFormatPr baseColWidth="10" defaultColWidth="11.42578125" defaultRowHeight="13.5"/>
  <cols>
    <col min="1" max="1" width="6.42578125" style="50" customWidth="1"/>
    <col min="2" max="2" width="68.7109375" style="50" customWidth="1"/>
    <col min="3" max="3" width="11.28515625" style="50" bestFit="1" customWidth="1"/>
    <col min="4" max="4" width="10.28515625" style="50" customWidth="1"/>
    <col min="5" max="5" width="7.85546875" style="50" bestFit="1" customWidth="1"/>
    <col min="6" max="6" width="6.28515625" style="50" customWidth="1"/>
    <col min="7" max="7" width="10.7109375" style="50" bestFit="1" customWidth="1"/>
    <col min="8" max="8" width="9.28515625" style="50" bestFit="1" customWidth="1"/>
    <col min="9" max="9" width="9.85546875" style="50" bestFit="1" customWidth="1"/>
    <col min="10" max="10" width="4.28515625" style="50" customWidth="1"/>
    <col min="11" max="11" width="10.85546875" style="50" bestFit="1" customWidth="1"/>
    <col min="12" max="12" width="10" style="50" bestFit="1" customWidth="1"/>
    <col min="13" max="13" width="8.7109375" style="50" bestFit="1" customWidth="1"/>
    <col min="14" max="14" width="4.42578125" style="50" customWidth="1"/>
    <col min="15" max="16384" width="11.42578125" style="50"/>
  </cols>
  <sheetData>
    <row r="2" spans="1:15">
      <c r="M2" s="50">
        <v>175</v>
      </c>
    </row>
    <row r="3" spans="1:15">
      <c r="A3" s="572" t="s">
        <v>428</v>
      </c>
      <c r="B3" s="573"/>
      <c r="C3" s="64"/>
      <c r="I3" s="344">
        <f>20000/26</f>
        <v>769.23076923076928</v>
      </c>
      <c r="K3" s="50">
        <f>27.7*27.7</f>
        <v>767.29</v>
      </c>
      <c r="M3" s="50">
        <f>+M2-(M2*0.25)</f>
        <v>131.25</v>
      </c>
    </row>
    <row r="4" spans="1:15">
      <c r="A4" s="47">
        <v>1</v>
      </c>
      <c r="B4" s="76" t="s">
        <v>429</v>
      </c>
      <c r="C4" s="72">
        <v>0.1</v>
      </c>
      <c r="K4" s="50">
        <f>30*30</f>
        <v>900</v>
      </c>
    </row>
    <row r="5" spans="1:15">
      <c r="A5" s="65"/>
      <c r="B5" s="65"/>
      <c r="C5" s="65"/>
      <c r="H5" s="345" t="s">
        <v>9</v>
      </c>
      <c r="K5" s="50">
        <f>+(30*30)*26</f>
        <v>23400</v>
      </c>
    </row>
    <row r="6" spans="1:15" ht="15.75" customHeight="1">
      <c r="A6" s="572" t="s">
        <v>430</v>
      </c>
      <c r="B6" s="573"/>
      <c r="C6" s="341" t="s">
        <v>605</v>
      </c>
      <c r="D6" s="342" t="s">
        <v>2</v>
      </c>
      <c r="E6" s="342" t="s">
        <v>482</v>
      </c>
      <c r="F6" s="342" t="s">
        <v>462</v>
      </c>
      <c r="H6" s="342" t="s">
        <v>604</v>
      </c>
    </row>
    <row r="7" spans="1:15">
      <c r="A7" s="47">
        <v>2</v>
      </c>
      <c r="B7" s="76" t="s">
        <v>431</v>
      </c>
      <c r="C7" s="338">
        <v>131.25</v>
      </c>
      <c r="D7" s="339">
        <f>+C7*0.1</f>
        <v>13.125</v>
      </c>
      <c r="E7" s="340">
        <f>+D7*0.19</f>
        <v>2.4937499999999999</v>
      </c>
      <c r="F7" s="343">
        <f>+C7+D7+E7</f>
        <v>146.86875000000001</v>
      </c>
      <c r="H7" s="346">
        <f>+(30*30)*26</f>
        <v>23400</v>
      </c>
      <c r="K7" s="50">
        <v>2100000</v>
      </c>
      <c r="L7" s="50">
        <f>+K7/30</f>
        <v>70000</v>
      </c>
      <c r="M7" s="50">
        <f>+L7/8</f>
        <v>8750</v>
      </c>
      <c r="O7" s="50">
        <f>+M7/60</f>
        <v>145.83333333333334</v>
      </c>
    </row>
    <row r="8" spans="1:15">
      <c r="A8" s="65"/>
      <c r="B8" s="65"/>
      <c r="C8" s="65"/>
    </row>
    <row r="9" spans="1:15">
      <c r="A9" s="573" t="s">
        <v>432</v>
      </c>
      <c r="B9" s="573"/>
      <c r="C9" s="57" t="s">
        <v>1122</v>
      </c>
      <c r="D9" s="49" t="s">
        <v>433</v>
      </c>
      <c r="E9" s="49" t="s">
        <v>434</v>
      </c>
      <c r="G9" s="51" t="s">
        <v>435</v>
      </c>
      <c r="H9" s="51" t="s">
        <v>436</v>
      </c>
      <c r="I9" s="51" t="s">
        <v>437</v>
      </c>
    </row>
    <row r="10" spans="1:15" ht="15" customHeight="1">
      <c r="A10" s="45">
        <v>1</v>
      </c>
      <c r="B10" s="69" t="s">
        <v>4</v>
      </c>
      <c r="C10" s="52">
        <f>+'Costo psonal'!C56</f>
        <v>2409077</v>
      </c>
      <c r="D10" s="52">
        <f>+'Costo psonal'!I37</f>
        <v>0.19999999995343387</v>
      </c>
      <c r="E10" s="52">
        <f>+C10+D10</f>
        <v>2409077.2000000002</v>
      </c>
      <c r="G10" s="48">
        <v>2344943</v>
      </c>
      <c r="H10" s="48">
        <f>G10-C10</f>
        <v>-64134</v>
      </c>
      <c r="I10" s="53">
        <f>H10/C10</f>
        <v>-2.6621814080662429E-2</v>
      </c>
    </row>
    <row r="11" spans="1:15" ht="15" customHeight="1">
      <c r="A11" s="45">
        <v>2</v>
      </c>
      <c r="B11" s="69" t="s">
        <v>5</v>
      </c>
      <c r="C11" s="54">
        <f>+'Costo psonal'!C60</f>
        <v>2048005</v>
      </c>
      <c r="D11" s="52">
        <f t="shared" ref="D11:D18" si="0">+D10</f>
        <v>0.19999999995343387</v>
      </c>
      <c r="E11" s="52">
        <f t="shared" ref="E11:E18" si="1">+C11+D11</f>
        <v>2048005.2</v>
      </c>
      <c r="G11" s="48">
        <v>2200293</v>
      </c>
      <c r="H11" s="48">
        <f t="shared" ref="H11:H22" si="2">G11-C11</f>
        <v>152288</v>
      </c>
      <c r="I11" s="53">
        <f t="shared" ref="I11:I22" si="3">H11/C11</f>
        <v>7.4359193459000342E-2</v>
      </c>
    </row>
    <row r="12" spans="1:15" ht="15" customHeight="1">
      <c r="A12" s="45">
        <v>3</v>
      </c>
      <c r="B12" s="69" t="s">
        <v>6</v>
      </c>
      <c r="C12" s="54">
        <f>+'Costo psonal'!C64</f>
        <v>2198005</v>
      </c>
      <c r="D12" s="52">
        <f t="shared" si="0"/>
        <v>0.19999999995343387</v>
      </c>
      <c r="E12" s="52">
        <f t="shared" si="1"/>
        <v>2198005.2000000002</v>
      </c>
      <c r="G12" s="48">
        <v>2200293</v>
      </c>
      <c r="H12" s="48">
        <f t="shared" si="2"/>
        <v>2288</v>
      </c>
      <c r="I12" s="53">
        <f t="shared" si="3"/>
        <v>1.0409439468973001E-3</v>
      </c>
    </row>
    <row r="13" spans="1:15" ht="15" customHeight="1">
      <c r="A13" s="45">
        <v>4</v>
      </c>
      <c r="B13" s="69" t="s">
        <v>7</v>
      </c>
      <c r="C13" s="54">
        <f>+'Costo psonal'!C72</f>
        <v>2409077</v>
      </c>
      <c r="D13" s="52">
        <f t="shared" si="0"/>
        <v>0.19999999995343387</v>
      </c>
      <c r="E13" s="52">
        <f t="shared" si="1"/>
        <v>2409077.2000000002</v>
      </c>
      <c r="G13" s="48">
        <v>2200293</v>
      </c>
      <c r="H13" s="48">
        <f t="shared" si="2"/>
        <v>-208784</v>
      </c>
      <c r="I13" s="53">
        <f t="shared" si="3"/>
        <v>-8.666555697472518E-2</v>
      </c>
    </row>
    <row r="14" spans="1:15" ht="15" customHeight="1">
      <c r="A14" s="45">
        <v>5</v>
      </c>
      <c r="B14" s="69" t="s">
        <v>8</v>
      </c>
      <c r="C14" s="54">
        <f>+'Costo psonal'!C88</f>
        <v>2348005</v>
      </c>
      <c r="D14" s="52">
        <f t="shared" si="0"/>
        <v>0.19999999995343387</v>
      </c>
      <c r="E14" s="52">
        <f t="shared" si="1"/>
        <v>2348005.2000000002</v>
      </c>
      <c r="G14" s="48">
        <v>2200293</v>
      </c>
      <c r="H14" s="48">
        <f t="shared" si="2"/>
        <v>-147712</v>
      </c>
      <c r="I14" s="53">
        <f t="shared" si="3"/>
        <v>-6.2909576427648148E-2</v>
      </c>
    </row>
    <row r="15" spans="1:15" ht="15" customHeight="1">
      <c r="A15" s="45">
        <v>6</v>
      </c>
      <c r="B15" s="69" t="s">
        <v>9</v>
      </c>
      <c r="C15" s="54">
        <f>+'Costo psonal'!C80</f>
        <v>2148005</v>
      </c>
      <c r="D15" s="52">
        <f t="shared" si="0"/>
        <v>0.19999999995343387</v>
      </c>
      <c r="E15" s="52">
        <f t="shared" si="1"/>
        <v>2148005.2000000002</v>
      </c>
      <c r="G15" s="48">
        <v>2200293</v>
      </c>
      <c r="H15" s="48">
        <f t="shared" si="2"/>
        <v>52288</v>
      </c>
      <c r="I15" s="53">
        <f t="shared" si="3"/>
        <v>2.4342587656918862E-2</v>
      </c>
    </row>
    <row r="16" spans="1:15" ht="15" customHeight="1">
      <c r="A16" s="45">
        <v>7</v>
      </c>
      <c r="B16" s="69" t="s">
        <v>10</v>
      </c>
      <c r="C16" s="54">
        <f>+'Costo psonal'!C68</f>
        <v>2248005</v>
      </c>
      <c r="D16" s="52">
        <f t="shared" si="0"/>
        <v>0.19999999995343387</v>
      </c>
      <c r="E16" s="52">
        <f t="shared" si="1"/>
        <v>2248005.2000000002</v>
      </c>
      <c r="G16" s="48">
        <v>2200293</v>
      </c>
      <c r="H16" s="48">
        <f t="shared" si="2"/>
        <v>-47712</v>
      </c>
      <c r="I16" s="53">
        <f t="shared" si="3"/>
        <v>-2.1224152081512276E-2</v>
      </c>
    </row>
    <row r="17" spans="1:9" ht="15" customHeight="1">
      <c r="A17" s="45">
        <v>8</v>
      </c>
      <c r="B17" s="69" t="s">
        <v>11</v>
      </c>
      <c r="C17" s="54">
        <f>+'Costo psonal'!C76</f>
        <v>2459077</v>
      </c>
      <c r="D17" s="52">
        <f t="shared" si="0"/>
        <v>0.19999999995343387</v>
      </c>
      <c r="E17" s="52">
        <f t="shared" si="1"/>
        <v>2459077.2000000002</v>
      </c>
      <c r="G17" s="48">
        <v>2200293</v>
      </c>
      <c r="H17" s="48">
        <f t="shared" si="2"/>
        <v>-258784</v>
      </c>
      <c r="I17" s="53">
        <f t="shared" si="3"/>
        <v>-0.10523623294431203</v>
      </c>
    </row>
    <row r="18" spans="1:9" ht="15" customHeight="1">
      <c r="A18" s="45">
        <v>9</v>
      </c>
      <c r="B18" s="69" t="s">
        <v>12</v>
      </c>
      <c r="C18" s="54">
        <f>+'Costo psonal'!C84</f>
        <v>2198005</v>
      </c>
      <c r="D18" s="52">
        <f t="shared" si="0"/>
        <v>0.19999999995343387</v>
      </c>
      <c r="E18" s="52">
        <f t="shared" si="1"/>
        <v>2198005.2000000002</v>
      </c>
      <c r="G18" s="48">
        <v>2200293</v>
      </c>
      <c r="H18" s="48">
        <f t="shared" si="2"/>
        <v>2288</v>
      </c>
      <c r="I18" s="53">
        <f t="shared" si="3"/>
        <v>1.0409439468973001E-3</v>
      </c>
    </row>
    <row r="19" spans="1:9" ht="15" customHeight="1">
      <c r="A19" s="45">
        <v>10</v>
      </c>
      <c r="B19" s="69" t="s">
        <v>13</v>
      </c>
      <c r="C19" s="54">
        <f>+'Costo psonal'!C92</f>
        <v>2348005</v>
      </c>
      <c r="D19" s="52"/>
      <c r="E19" s="52"/>
      <c r="G19" s="48">
        <v>2200293</v>
      </c>
      <c r="H19" s="48">
        <f t="shared" si="2"/>
        <v>-147712</v>
      </c>
      <c r="I19" s="53">
        <f t="shared" si="3"/>
        <v>-6.2909576427648148E-2</v>
      </c>
    </row>
    <row r="20" spans="1:9" ht="15" customHeight="1">
      <c r="A20" s="45">
        <v>11</v>
      </c>
      <c r="B20" s="69" t="s">
        <v>14</v>
      </c>
      <c r="C20" s="54">
        <f>+C12/30</f>
        <v>73266.833333333328</v>
      </c>
      <c r="D20" s="52"/>
      <c r="E20" s="52"/>
      <c r="G20" s="48">
        <v>73343</v>
      </c>
      <c r="H20" s="48">
        <f t="shared" si="2"/>
        <v>76.166666666671517</v>
      </c>
      <c r="I20" s="53">
        <f t="shared" si="3"/>
        <v>1.03957907284112E-3</v>
      </c>
    </row>
    <row r="21" spans="1:9" ht="15" customHeight="1">
      <c r="A21" s="45">
        <v>12</v>
      </c>
      <c r="B21" s="69" t="s">
        <v>15</v>
      </c>
      <c r="C21" s="54">
        <f>+C16/30</f>
        <v>74933.5</v>
      </c>
      <c r="D21" s="52"/>
      <c r="E21" s="52"/>
      <c r="G21" s="48">
        <v>73343</v>
      </c>
      <c r="H21" s="48">
        <f t="shared" si="2"/>
        <v>-1590.5</v>
      </c>
      <c r="I21" s="53">
        <f t="shared" si="3"/>
        <v>-2.1225486598116999E-2</v>
      </c>
    </row>
    <row r="22" spans="1:9" ht="15" customHeight="1">
      <c r="A22" s="45">
        <v>13</v>
      </c>
      <c r="B22" s="69" t="s">
        <v>16</v>
      </c>
      <c r="C22" s="54">
        <f>+C19/30</f>
        <v>78266.833333333328</v>
      </c>
      <c r="D22" s="52"/>
      <c r="E22" s="52"/>
      <c r="G22" s="48">
        <v>73343</v>
      </c>
      <c r="H22" s="48">
        <f t="shared" si="2"/>
        <v>-4923.8333333333285</v>
      </c>
      <c r="I22" s="53">
        <f t="shared" si="3"/>
        <v>-6.2910854108061895E-2</v>
      </c>
    </row>
    <row r="23" spans="1:9">
      <c r="A23" s="65"/>
      <c r="B23" s="65"/>
      <c r="C23" s="65"/>
    </row>
    <row r="24" spans="1:9">
      <c r="A24" s="572" t="s">
        <v>442</v>
      </c>
      <c r="B24" s="573"/>
      <c r="C24" s="57" t="s">
        <v>625</v>
      </c>
      <c r="G24" s="51" t="s">
        <v>435</v>
      </c>
      <c r="H24" s="51" t="s">
        <v>436</v>
      </c>
      <c r="I24" s="51" t="s">
        <v>437</v>
      </c>
    </row>
    <row r="25" spans="1:9">
      <c r="A25" s="45">
        <v>1</v>
      </c>
      <c r="B25" s="69" t="s">
        <v>5</v>
      </c>
      <c r="C25" s="54">
        <f>+'Costo psonal'!C98</f>
        <v>1149165</v>
      </c>
      <c r="G25" s="48">
        <v>1408187</v>
      </c>
      <c r="H25" s="48">
        <f>G25-C25</f>
        <v>259022</v>
      </c>
      <c r="I25" s="53">
        <f t="shared" ref="I25:I33" si="4">H25/C25</f>
        <v>0.22540018187118474</v>
      </c>
    </row>
    <row r="26" spans="1:9">
      <c r="A26" s="45">
        <v>2</v>
      </c>
      <c r="B26" s="69" t="s">
        <v>6</v>
      </c>
      <c r="C26" s="54">
        <f>+'Costo psonal'!C99</f>
        <v>1224165</v>
      </c>
      <c r="G26" s="48">
        <v>1362556</v>
      </c>
      <c r="H26" s="48">
        <f t="shared" ref="H26:H33" si="5">G26-C26</f>
        <v>138391</v>
      </c>
      <c r="I26" s="53">
        <f t="shared" si="4"/>
        <v>0.11304930299428591</v>
      </c>
    </row>
    <row r="27" spans="1:9">
      <c r="A27" s="45">
        <v>3</v>
      </c>
      <c r="B27" s="69" t="s">
        <v>7</v>
      </c>
      <c r="C27" s="54">
        <f>+'Costo psonal'!C100</f>
        <v>1149165</v>
      </c>
      <c r="G27" s="48">
        <v>1362556</v>
      </c>
      <c r="H27" s="48">
        <f t="shared" si="5"/>
        <v>213391</v>
      </c>
      <c r="I27" s="53">
        <f t="shared" si="4"/>
        <v>0.18569222000321972</v>
      </c>
    </row>
    <row r="28" spans="1:9">
      <c r="A28" s="45">
        <v>4</v>
      </c>
      <c r="B28" s="69" t="s">
        <v>19</v>
      </c>
      <c r="C28" s="54">
        <f>+'Costo psonal'!C101</f>
        <v>1299165</v>
      </c>
      <c r="G28" s="48">
        <v>1408187</v>
      </c>
      <c r="H28" s="48">
        <f t="shared" si="5"/>
        <v>109022</v>
      </c>
      <c r="I28" s="53">
        <f t="shared" si="4"/>
        <v>8.3916977443203908E-2</v>
      </c>
    </row>
    <row r="29" spans="1:9">
      <c r="A29" s="45">
        <v>5</v>
      </c>
      <c r="B29" s="69" t="s">
        <v>9</v>
      </c>
      <c r="C29" s="54">
        <f>+'Costo psonal'!C102</f>
        <v>1199165</v>
      </c>
      <c r="G29" s="48">
        <v>1362556</v>
      </c>
      <c r="H29" s="48">
        <f t="shared" si="5"/>
        <v>163391</v>
      </c>
      <c r="I29" s="53">
        <f t="shared" si="4"/>
        <v>0.13625397672547149</v>
      </c>
    </row>
    <row r="30" spans="1:9" ht="15" customHeight="1">
      <c r="A30" s="45">
        <v>6</v>
      </c>
      <c r="B30" s="69" t="s">
        <v>438</v>
      </c>
      <c r="C30" s="54">
        <f>+'Costo psonal'!C103</f>
        <v>1249165</v>
      </c>
      <c r="G30" s="48">
        <v>1362556</v>
      </c>
      <c r="H30" s="48">
        <f t="shared" si="5"/>
        <v>113391</v>
      </c>
      <c r="I30" s="53">
        <f t="shared" si="4"/>
        <v>9.0773436655686005E-2</v>
      </c>
    </row>
    <row r="31" spans="1:9" ht="15" customHeight="1">
      <c r="A31" s="45">
        <v>7</v>
      </c>
      <c r="B31" s="69" t="s">
        <v>439</v>
      </c>
      <c r="C31" s="54">
        <f>+'Costo psonal'!C104</f>
        <v>1174165</v>
      </c>
      <c r="G31" s="48">
        <v>1362556</v>
      </c>
      <c r="H31" s="48">
        <f t="shared" si="5"/>
        <v>188391</v>
      </c>
      <c r="I31" s="53">
        <f t="shared" si="4"/>
        <v>0.1604467855880562</v>
      </c>
    </row>
    <row r="32" spans="1:9" ht="15" customHeight="1">
      <c r="A32" s="45">
        <v>8</v>
      </c>
      <c r="B32" s="69" t="s">
        <v>440</v>
      </c>
      <c r="C32" s="54">
        <f>+'Costo psonal'!C105</f>
        <v>1224165</v>
      </c>
      <c r="G32" s="48">
        <v>1362556</v>
      </c>
      <c r="H32" s="48">
        <f t="shared" si="5"/>
        <v>138391</v>
      </c>
      <c r="I32" s="53">
        <f t="shared" si="4"/>
        <v>0.11304930299428591</v>
      </c>
    </row>
    <row r="33" spans="1:20" ht="15" customHeight="1">
      <c r="A33" s="45">
        <v>9</v>
      </c>
      <c r="B33" s="69" t="s">
        <v>441</v>
      </c>
      <c r="C33" s="54">
        <f>+'Costo psonal'!C106</f>
        <v>1299165</v>
      </c>
      <c r="G33" s="48">
        <v>1338704</v>
      </c>
      <c r="H33" s="48">
        <f t="shared" si="5"/>
        <v>39539</v>
      </c>
      <c r="I33" s="53">
        <f t="shared" si="4"/>
        <v>3.0434163481928778E-2</v>
      </c>
    </row>
    <row r="35" spans="1:20" ht="13.5" customHeight="1">
      <c r="A35" s="577" t="s">
        <v>494</v>
      </c>
      <c r="B35" s="578"/>
    </row>
    <row r="36" spans="1:20">
      <c r="A36" s="572" t="s">
        <v>492</v>
      </c>
      <c r="B36" s="572" t="s">
        <v>443</v>
      </c>
      <c r="G36" s="574" t="s">
        <v>444</v>
      </c>
      <c r="H36" s="574"/>
      <c r="I36" s="574"/>
      <c r="J36" s="574"/>
      <c r="K36" s="574"/>
      <c r="L36" s="574"/>
      <c r="M36" s="574"/>
      <c r="N36" s="574"/>
      <c r="O36" s="574"/>
      <c r="P36" s="574"/>
      <c r="Q36" s="574"/>
    </row>
    <row r="37" spans="1:20" ht="30" customHeight="1">
      <c r="A37" s="56" t="s">
        <v>445</v>
      </c>
      <c r="B37" s="56" t="s">
        <v>491</v>
      </c>
      <c r="C37" s="57" t="s">
        <v>447</v>
      </c>
      <c r="D37" s="58" t="s">
        <v>606</v>
      </c>
      <c r="G37" s="58" t="s">
        <v>435</v>
      </c>
      <c r="H37" s="58" t="s">
        <v>436</v>
      </c>
      <c r="I37" s="58" t="s">
        <v>437</v>
      </c>
      <c r="K37" s="59" t="s">
        <v>448</v>
      </c>
      <c r="L37" s="58" t="s">
        <v>436</v>
      </c>
      <c r="M37" s="58" t="s">
        <v>437</v>
      </c>
      <c r="O37" s="59" t="s">
        <v>495</v>
      </c>
      <c r="P37" s="58" t="s">
        <v>436</v>
      </c>
      <c r="Q37" s="58" t="s">
        <v>437</v>
      </c>
      <c r="S37" s="57" t="s">
        <v>449</v>
      </c>
      <c r="T37" s="57" t="s">
        <v>450</v>
      </c>
    </row>
    <row r="38" spans="1:20">
      <c r="A38" s="67">
        <v>1</v>
      </c>
      <c r="B38" s="74" t="s">
        <v>21</v>
      </c>
      <c r="C38" s="60">
        <v>10591</v>
      </c>
      <c r="D38" s="125" t="s">
        <v>365</v>
      </c>
      <c r="G38" s="61">
        <v>9248</v>
      </c>
      <c r="H38" s="61">
        <f>+G38-C38</f>
        <v>-1343</v>
      </c>
      <c r="I38" s="62">
        <f t="shared" ref="I38:I101" si="6">H38/C38</f>
        <v>-0.12680577849117175</v>
      </c>
      <c r="K38" s="61">
        <v>7398.4</v>
      </c>
      <c r="L38" s="61">
        <f>+K38-C38</f>
        <v>-3192.6000000000004</v>
      </c>
      <c r="M38" s="62">
        <f>L38/C38</f>
        <v>-0.30144462279293743</v>
      </c>
      <c r="O38" s="61">
        <v>6936</v>
      </c>
      <c r="P38" s="61">
        <f>+O38-C38</f>
        <v>-3655</v>
      </c>
      <c r="Q38" s="62">
        <f>+P38/C38</f>
        <v>-0.3451043338683788</v>
      </c>
      <c r="S38" s="60">
        <v>10710</v>
      </c>
      <c r="T38" s="50">
        <v>10520</v>
      </c>
    </row>
    <row r="39" spans="1:20">
      <c r="A39" s="67">
        <v>2</v>
      </c>
      <c r="B39" s="74" t="s">
        <v>22</v>
      </c>
      <c r="C39" s="60">
        <v>3392</v>
      </c>
      <c r="D39" s="125" t="s">
        <v>365</v>
      </c>
      <c r="G39" s="61">
        <v>2558</v>
      </c>
      <c r="H39" s="61">
        <f t="shared" ref="H39:H102" si="7">+G39-C39</f>
        <v>-834</v>
      </c>
      <c r="I39" s="62">
        <f t="shared" si="6"/>
        <v>-0.24587264150943397</v>
      </c>
      <c r="K39" s="61">
        <v>2046.4</v>
      </c>
      <c r="L39" s="61">
        <f t="shared" ref="L39:L102" si="8">+K39-C39</f>
        <v>-1345.6</v>
      </c>
      <c r="M39" s="62">
        <f t="shared" ref="M39:M102" si="9">L39/C39</f>
        <v>-0.39669811320754716</v>
      </c>
      <c r="O39" s="61">
        <v>1918.5</v>
      </c>
      <c r="P39" s="61">
        <f t="shared" ref="P39:P102" si="10">+O39-C39</f>
        <v>-1473.5</v>
      </c>
      <c r="Q39" s="62">
        <f t="shared" ref="Q39:Q102" si="11">+P39/C39</f>
        <v>-0.43440448113207547</v>
      </c>
      <c r="S39" s="60">
        <v>1845</v>
      </c>
      <c r="T39" s="50">
        <v>3689</v>
      </c>
    </row>
    <row r="40" spans="1:20">
      <c r="A40" s="67">
        <v>3</v>
      </c>
      <c r="B40" s="74" t="s">
        <v>23</v>
      </c>
      <c r="C40" s="60">
        <v>6372</v>
      </c>
      <c r="D40" s="125" t="s">
        <v>365</v>
      </c>
      <c r="G40" s="61">
        <v>5599</v>
      </c>
      <c r="H40" s="61">
        <f t="shared" si="7"/>
        <v>-773</v>
      </c>
      <c r="I40" s="62">
        <f t="shared" si="6"/>
        <v>-0.12131198995605776</v>
      </c>
      <c r="K40" s="61">
        <v>4479.2</v>
      </c>
      <c r="L40" s="61">
        <f t="shared" si="8"/>
        <v>-1892.8000000000002</v>
      </c>
      <c r="M40" s="62">
        <f t="shared" si="9"/>
        <v>-0.2970495919648462</v>
      </c>
      <c r="O40" s="61">
        <v>4199.25</v>
      </c>
      <c r="P40" s="61">
        <f t="shared" si="10"/>
        <v>-2172.75</v>
      </c>
      <c r="Q40" s="62">
        <f t="shared" si="11"/>
        <v>-0.34098399246704331</v>
      </c>
      <c r="S40" s="60">
        <v>4490</v>
      </c>
      <c r="T40" s="50">
        <v>6783</v>
      </c>
    </row>
    <row r="41" spans="1:20">
      <c r="A41" s="67">
        <v>4</v>
      </c>
      <c r="B41" s="74" t="s">
        <v>24</v>
      </c>
      <c r="C41" s="60">
        <v>6372</v>
      </c>
      <c r="D41" s="125" t="s">
        <v>365</v>
      </c>
      <c r="G41" s="61">
        <v>5090</v>
      </c>
      <c r="H41" s="61">
        <f t="shared" si="7"/>
        <v>-1282</v>
      </c>
      <c r="I41" s="62">
        <f t="shared" si="6"/>
        <v>-0.20119271814187067</v>
      </c>
      <c r="K41" s="61">
        <v>4072</v>
      </c>
      <c r="L41" s="61">
        <f t="shared" si="8"/>
        <v>-2300</v>
      </c>
      <c r="M41" s="62">
        <f t="shared" si="9"/>
        <v>-0.36095417451349654</v>
      </c>
      <c r="O41" s="61">
        <v>3817.5</v>
      </c>
      <c r="P41" s="61">
        <f t="shared" si="10"/>
        <v>-2554.5</v>
      </c>
      <c r="Q41" s="62">
        <f t="shared" si="11"/>
        <v>-0.40089453860640301</v>
      </c>
      <c r="S41" s="60">
        <v>952</v>
      </c>
      <c r="T41" s="50">
        <v>1428</v>
      </c>
    </row>
    <row r="42" spans="1:20">
      <c r="A42" s="67">
        <v>5</v>
      </c>
      <c r="B42" s="74" t="s">
        <v>25</v>
      </c>
      <c r="C42" s="60">
        <v>2200</v>
      </c>
      <c r="D42" s="125" t="s">
        <v>365</v>
      </c>
      <c r="G42" s="61">
        <v>1846</v>
      </c>
      <c r="H42" s="61">
        <f t="shared" si="7"/>
        <v>-354</v>
      </c>
      <c r="I42" s="62">
        <f t="shared" si="6"/>
        <v>-0.16090909090909092</v>
      </c>
      <c r="K42" s="61">
        <v>1476.8</v>
      </c>
      <c r="L42" s="61">
        <f t="shared" si="8"/>
        <v>-723.2</v>
      </c>
      <c r="M42" s="62">
        <f t="shared" si="9"/>
        <v>-0.32872727272727276</v>
      </c>
      <c r="O42" s="61">
        <v>1384.5</v>
      </c>
      <c r="P42" s="61">
        <f t="shared" si="10"/>
        <v>-815.5</v>
      </c>
      <c r="Q42" s="62">
        <f t="shared" si="11"/>
        <v>-0.37068181818181817</v>
      </c>
      <c r="S42" s="60">
        <v>2529</v>
      </c>
      <c r="T42" s="50">
        <v>1837</v>
      </c>
    </row>
    <row r="43" spans="1:20">
      <c r="A43" s="67">
        <v>6</v>
      </c>
      <c r="B43" s="74" t="s">
        <v>26</v>
      </c>
      <c r="C43" s="60">
        <v>2200</v>
      </c>
      <c r="D43" s="125" t="s">
        <v>365</v>
      </c>
      <c r="G43" s="61">
        <v>1810</v>
      </c>
      <c r="H43" s="61">
        <f t="shared" si="7"/>
        <v>-390</v>
      </c>
      <c r="I43" s="62">
        <f t="shared" si="6"/>
        <v>-0.17727272727272728</v>
      </c>
      <c r="K43" s="61">
        <v>1448</v>
      </c>
      <c r="L43" s="61">
        <f t="shared" si="8"/>
        <v>-752</v>
      </c>
      <c r="M43" s="62">
        <f t="shared" si="9"/>
        <v>-0.3418181818181818</v>
      </c>
      <c r="O43" s="61">
        <v>1357.5</v>
      </c>
      <c r="P43" s="61">
        <f t="shared" si="10"/>
        <v>-842.5</v>
      </c>
      <c r="Q43" s="62">
        <f t="shared" si="11"/>
        <v>-0.38295454545454544</v>
      </c>
      <c r="S43" s="60">
        <v>2523</v>
      </c>
      <c r="T43" s="50">
        <v>238</v>
      </c>
    </row>
    <row r="44" spans="1:20">
      <c r="A44" s="67">
        <v>7</v>
      </c>
      <c r="B44" s="74" t="s">
        <v>27</v>
      </c>
      <c r="C44" s="60">
        <v>2186</v>
      </c>
      <c r="D44" s="125" t="s">
        <v>365</v>
      </c>
      <c r="G44" s="61">
        <v>2520</v>
      </c>
      <c r="H44" s="61">
        <f t="shared" si="7"/>
        <v>334</v>
      </c>
      <c r="I44" s="62">
        <f t="shared" si="6"/>
        <v>0.15279048490393413</v>
      </c>
      <c r="K44" s="61">
        <v>2016</v>
      </c>
      <c r="L44" s="61">
        <f t="shared" si="8"/>
        <v>-170</v>
      </c>
      <c r="M44" s="62">
        <f t="shared" si="9"/>
        <v>-7.7767612076852705E-2</v>
      </c>
      <c r="O44" s="61">
        <v>1890</v>
      </c>
      <c r="P44" s="61">
        <f t="shared" si="10"/>
        <v>-296</v>
      </c>
      <c r="Q44" s="62">
        <f t="shared" si="11"/>
        <v>-0.1354071363220494</v>
      </c>
      <c r="S44" s="60">
        <v>3511</v>
      </c>
      <c r="T44" s="50">
        <v>3708</v>
      </c>
    </row>
    <row r="45" spans="1:20">
      <c r="A45" s="67">
        <v>8</v>
      </c>
      <c r="B45" s="74" t="s">
        <v>28</v>
      </c>
      <c r="C45" s="60">
        <v>1650</v>
      </c>
      <c r="D45" s="125" t="s">
        <v>365</v>
      </c>
      <c r="G45" s="61">
        <v>1908</v>
      </c>
      <c r="H45" s="61">
        <f t="shared" si="7"/>
        <v>258</v>
      </c>
      <c r="I45" s="62">
        <f t="shared" si="6"/>
        <v>0.15636363636363637</v>
      </c>
      <c r="K45" s="61">
        <v>1526.4</v>
      </c>
      <c r="L45" s="61">
        <f t="shared" si="8"/>
        <v>-123.59999999999991</v>
      </c>
      <c r="M45" s="62">
        <f t="shared" si="9"/>
        <v>-7.4909090909090856E-2</v>
      </c>
      <c r="O45" s="61">
        <v>1431</v>
      </c>
      <c r="P45" s="61">
        <f t="shared" si="10"/>
        <v>-219</v>
      </c>
      <c r="Q45" s="62">
        <f t="shared" si="11"/>
        <v>-0.13272727272727272</v>
      </c>
      <c r="S45" s="60">
        <v>6435</v>
      </c>
      <c r="T45" s="50">
        <v>9758</v>
      </c>
    </row>
    <row r="46" spans="1:20">
      <c r="A46" s="67">
        <v>9</v>
      </c>
      <c r="B46" s="74" t="s">
        <v>29</v>
      </c>
      <c r="C46" s="60">
        <v>36986</v>
      </c>
      <c r="D46" s="125" t="s">
        <v>365</v>
      </c>
      <c r="G46" s="61">
        <v>31674</v>
      </c>
      <c r="H46" s="61">
        <f t="shared" si="7"/>
        <v>-5312</v>
      </c>
      <c r="I46" s="62">
        <f t="shared" si="6"/>
        <v>-0.14362191099334884</v>
      </c>
      <c r="K46" s="61">
        <v>25339.200000000001</v>
      </c>
      <c r="L46" s="61">
        <f t="shared" si="8"/>
        <v>-11646.8</v>
      </c>
      <c r="M46" s="62">
        <f t="shared" si="9"/>
        <v>-0.31489752879467903</v>
      </c>
      <c r="O46" s="61">
        <v>23755.5</v>
      </c>
      <c r="P46" s="61">
        <f t="shared" si="10"/>
        <v>-13230.5</v>
      </c>
      <c r="Q46" s="62">
        <f t="shared" si="11"/>
        <v>-0.35771643324501162</v>
      </c>
      <c r="S46" s="60">
        <v>6919</v>
      </c>
      <c r="T46" s="50">
        <v>10514</v>
      </c>
    </row>
    <row r="47" spans="1:20">
      <c r="A47" s="67">
        <v>10</v>
      </c>
      <c r="B47" s="74" t="s">
        <v>30</v>
      </c>
      <c r="C47" s="60">
        <v>3213</v>
      </c>
      <c r="D47" s="125" t="s">
        <v>365</v>
      </c>
      <c r="G47" s="61">
        <v>1981</v>
      </c>
      <c r="H47" s="61">
        <f t="shared" si="7"/>
        <v>-1232</v>
      </c>
      <c r="I47" s="62">
        <f t="shared" si="6"/>
        <v>-0.38344226579520696</v>
      </c>
      <c r="K47" s="61">
        <v>1584.8</v>
      </c>
      <c r="L47" s="61">
        <f t="shared" si="8"/>
        <v>-1628.2</v>
      </c>
      <c r="M47" s="62">
        <f t="shared" si="9"/>
        <v>-0.50675381263616559</v>
      </c>
      <c r="O47" s="61">
        <v>1485.75</v>
      </c>
      <c r="P47" s="61">
        <f t="shared" si="10"/>
        <v>-1727.25</v>
      </c>
      <c r="Q47" s="62">
        <f t="shared" si="11"/>
        <v>-0.53758169934640521</v>
      </c>
      <c r="S47" s="60">
        <v>21420</v>
      </c>
      <c r="T47" s="50">
        <v>17850</v>
      </c>
    </row>
    <row r="48" spans="1:20">
      <c r="A48" s="67">
        <v>11</v>
      </c>
      <c r="B48" s="74" t="s">
        <v>31</v>
      </c>
      <c r="C48" s="60">
        <v>8687</v>
      </c>
      <c r="D48" s="125" t="s">
        <v>365</v>
      </c>
      <c r="G48" s="61">
        <v>1471</v>
      </c>
      <c r="H48" s="61">
        <f t="shared" si="7"/>
        <v>-7216</v>
      </c>
      <c r="I48" s="62">
        <f t="shared" si="6"/>
        <v>-0.83066651318061469</v>
      </c>
      <c r="K48" s="61">
        <v>1176.8</v>
      </c>
      <c r="L48" s="61">
        <f t="shared" si="8"/>
        <v>-7510.2</v>
      </c>
      <c r="M48" s="62">
        <f t="shared" si="9"/>
        <v>-0.86453321054449173</v>
      </c>
      <c r="O48" s="61">
        <v>1103.25</v>
      </c>
      <c r="P48" s="61">
        <f t="shared" si="10"/>
        <v>-7583.75</v>
      </c>
      <c r="Q48" s="62">
        <f t="shared" si="11"/>
        <v>-0.87299988488546099</v>
      </c>
      <c r="S48" s="60">
        <v>4760</v>
      </c>
      <c r="T48" s="50">
        <v>7021</v>
      </c>
    </row>
    <row r="49" spans="1:21">
      <c r="A49" s="67">
        <v>12</v>
      </c>
      <c r="B49" s="74" t="s">
        <v>32</v>
      </c>
      <c r="C49" s="60">
        <v>8925</v>
      </c>
      <c r="D49" s="125" t="s">
        <v>365</v>
      </c>
      <c r="G49" s="61">
        <v>6192</v>
      </c>
      <c r="H49" s="61">
        <f t="shared" si="7"/>
        <v>-2733</v>
      </c>
      <c r="I49" s="62">
        <f t="shared" si="6"/>
        <v>-0.30621848739495799</v>
      </c>
      <c r="K49" s="61">
        <v>4953.6000000000004</v>
      </c>
      <c r="L49" s="61">
        <f t="shared" si="8"/>
        <v>-3971.3999999999996</v>
      </c>
      <c r="M49" s="62">
        <f t="shared" si="9"/>
        <v>-0.44497478991596634</v>
      </c>
      <c r="O49" s="61">
        <v>4644</v>
      </c>
      <c r="P49" s="61">
        <f t="shared" si="10"/>
        <v>-4281</v>
      </c>
      <c r="Q49" s="62">
        <f t="shared" si="11"/>
        <v>-0.47966386554621848</v>
      </c>
      <c r="S49" s="60">
        <v>2618</v>
      </c>
      <c r="T49" s="50">
        <v>2892</v>
      </c>
    </row>
    <row r="50" spans="1:21">
      <c r="A50" s="67">
        <v>13</v>
      </c>
      <c r="B50" s="74" t="s">
        <v>33</v>
      </c>
      <c r="C50" s="60">
        <v>20215</v>
      </c>
      <c r="D50" s="125" t="s">
        <v>365</v>
      </c>
      <c r="G50" s="61">
        <v>13215</v>
      </c>
      <c r="H50" s="61">
        <f t="shared" si="7"/>
        <v>-7000</v>
      </c>
      <c r="I50" s="62">
        <f t="shared" si="6"/>
        <v>-0.34627751669552315</v>
      </c>
      <c r="K50" s="61">
        <v>10572</v>
      </c>
      <c r="L50" s="61">
        <f t="shared" si="8"/>
        <v>-9643</v>
      </c>
      <c r="M50" s="62">
        <f t="shared" si="9"/>
        <v>-0.47702201335641853</v>
      </c>
      <c r="O50" s="61">
        <v>9911.25</v>
      </c>
      <c r="P50" s="61">
        <f t="shared" si="10"/>
        <v>-10303.75</v>
      </c>
      <c r="Q50" s="62">
        <f t="shared" si="11"/>
        <v>-0.50970813752164235</v>
      </c>
      <c r="S50" s="60">
        <v>2142</v>
      </c>
      <c r="T50" s="50">
        <v>2142</v>
      </c>
    </row>
    <row r="51" spans="1:21">
      <c r="A51" s="67">
        <v>14</v>
      </c>
      <c r="B51" s="74" t="s">
        <v>34</v>
      </c>
      <c r="C51" s="60">
        <v>20215</v>
      </c>
      <c r="D51" s="125" t="s">
        <v>365</v>
      </c>
      <c r="G51" s="61">
        <v>5430</v>
      </c>
      <c r="H51" s="61">
        <f t="shared" si="7"/>
        <v>-14785</v>
      </c>
      <c r="I51" s="62">
        <f t="shared" si="6"/>
        <v>-0.73138758347761568</v>
      </c>
      <c r="K51" s="61">
        <v>4344</v>
      </c>
      <c r="L51" s="61">
        <f t="shared" si="8"/>
        <v>-15871</v>
      </c>
      <c r="M51" s="62">
        <f t="shared" si="9"/>
        <v>-0.7851100667820925</v>
      </c>
      <c r="O51" s="61">
        <v>4072.5</v>
      </c>
      <c r="P51" s="61">
        <f t="shared" si="10"/>
        <v>-16142.5</v>
      </c>
      <c r="Q51" s="62">
        <f t="shared" si="11"/>
        <v>-0.79854068760821173</v>
      </c>
      <c r="S51" s="60">
        <v>6902</v>
      </c>
      <c r="T51" s="50">
        <v>7140</v>
      </c>
    </row>
    <row r="52" spans="1:21">
      <c r="A52" s="67">
        <v>15</v>
      </c>
      <c r="B52" s="74" t="s">
        <v>35</v>
      </c>
      <c r="C52" s="60">
        <v>7735</v>
      </c>
      <c r="D52" s="125" t="s">
        <v>365</v>
      </c>
      <c r="G52" s="61">
        <v>5371</v>
      </c>
      <c r="H52" s="61">
        <f t="shared" si="7"/>
        <v>-2364</v>
      </c>
      <c r="I52" s="62">
        <f t="shared" si="6"/>
        <v>-0.30562378797672918</v>
      </c>
      <c r="K52" s="61">
        <v>4296.8</v>
      </c>
      <c r="L52" s="61">
        <f t="shared" si="8"/>
        <v>-3438.2</v>
      </c>
      <c r="M52" s="62">
        <f t="shared" si="9"/>
        <v>-0.44449903038138328</v>
      </c>
      <c r="O52" s="61">
        <v>4028.25</v>
      </c>
      <c r="P52" s="61">
        <f t="shared" si="10"/>
        <v>-3706.75</v>
      </c>
      <c r="Q52" s="62">
        <f t="shared" si="11"/>
        <v>-0.47921784098254688</v>
      </c>
      <c r="S52" s="60">
        <v>2886</v>
      </c>
      <c r="T52" s="50">
        <v>3274</v>
      </c>
    </row>
    <row r="53" spans="1:21">
      <c r="A53" s="67">
        <v>16</v>
      </c>
      <c r="B53" s="74" t="s">
        <v>36</v>
      </c>
      <c r="C53" s="60">
        <v>3094</v>
      </c>
      <c r="D53" s="125" t="s">
        <v>365</v>
      </c>
      <c r="G53" s="61">
        <v>1902</v>
      </c>
      <c r="H53" s="61">
        <f t="shared" si="7"/>
        <v>-1192</v>
      </c>
      <c r="I53" s="62">
        <f t="shared" si="6"/>
        <v>-0.38526179702650293</v>
      </c>
      <c r="K53" s="61">
        <v>1521.6</v>
      </c>
      <c r="L53" s="61">
        <f t="shared" si="8"/>
        <v>-1572.4</v>
      </c>
      <c r="M53" s="62">
        <f t="shared" si="9"/>
        <v>-0.50820943762120241</v>
      </c>
      <c r="O53" s="61">
        <v>1426.5</v>
      </c>
      <c r="P53" s="61">
        <f t="shared" si="10"/>
        <v>-1667.5</v>
      </c>
      <c r="Q53" s="62">
        <f t="shared" si="11"/>
        <v>-0.53894634776987715</v>
      </c>
      <c r="S53" s="60">
        <v>4784</v>
      </c>
      <c r="T53" s="50">
        <v>6664</v>
      </c>
    </row>
    <row r="54" spans="1:21">
      <c r="A54" s="67">
        <v>17</v>
      </c>
      <c r="B54" s="74" t="s">
        <v>37</v>
      </c>
      <c r="C54" s="60">
        <v>2142</v>
      </c>
      <c r="D54" s="125" t="s">
        <v>365</v>
      </c>
      <c r="G54" s="61">
        <v>1696</v>
      </c>
      <c r="H54" s="61">
        <f t="shared" si="7"/>
        <v>-446</v>
      </c>
      <c r="I54" s="62">
        <f t="shared" si="6"/>
        <v>-0.20821661998132587</v>
      </c>
      <c r="K54" s="61">
        <v>1356.8</v>
      </c>
      <c r="L54" s="61">
        <f t="shared" si="8"/>
        <v>-785.2</v>
      </c>
      <c r="M54" s="62">
        <f t="shared" si="9"/>
        <v>-0.36657329598506072</v>
      </c>
      <c r="O54" s="61">
        <v>1272</v>
      </c>
      <c r="P54" s="61">
        <f t="shared" si="10"/>
        <v>-870</v>
      </c>
      <c r="Q54" s="62">
        <f t="shared" si="11"/>
        <v>-0.4061624649859944</v>
      </c>
      <c r="S54" s="60">
        <v>1785</v>
      </c>
      <c r="T54" s="50">
        <v>2737</v>
      </c>
    </row>
    <row r="55" spans="1:21">
      <c r="A55" s="67">
        <v>18</v>
      </c>
      <c r="B55" s="74" t="s">
        <v>38</v>
      </c>
      <c r="C55" s="60">
        <v>7378</v>
      </c>
      <c r="D55" s="125" t="s">
        <v>365</v>
      </c>
      <c r="G55" s="61">
        <v>5649</v>
      </c>
      <c r="H55" s="61">
        <f t="shared" si="7"/>
        <v>-1729</v>
      </c>
      <c r="I55" s="62">
        <f t="shared" si="6"/>
        <v>-0.23434535104364326</v>
      </c>
      <c r="K55" s="61">
        <v>4519.2</v>
      </c>
      <c r="L55" s="61">
        <f t="shared" si="8"/>
        <v>-2858.8</v>
      </c>
      <c r="M55" s="62">
        <f t="shared" si="9"/>
        <v>-0.38747628083491464</v>
      </c>
      <c r="O55" s="61">
        <v>4236.75</v>
      </c>
      <c r="P55" s="61">
        <f t="shared" si="10"/>
        <v>-3141.25</v>
      </c>
      <c r="Q55" s="62">
        <f t="shared" si="11"/>
        <v>-0.42575901328273247</v>
      </c>
      <c r="S55" s="60">
        <v>1428</v>
      </c>
      <c r="T55" s="50">
        <v>2499</v>
      </c>
    </row>
    <row r="56" spans="1:21">
      <c r="A56" s="67">
        <v>19</v>
      </c>
      <c r="B56" s="74" t="s">
        <v>39</v>
      </c>
      <c r="C56" s="60">
        <v>7973</v>
      </c>
      <c r="D56" s="125" t="s">
        <v>365</v>
      </c>
      <c r="G56" s="61">
        <v>6855</v>
      </c>
      <c r="H56" s="61">
        <f t="shared" si="7"/>
        <v>-1118</v>
      </c>
      <c r="I56" s="62">
        <f t="shared" si="6"/>
        <v>-0.14022325348049669</v>
      </c>
      <c r="K56" s="61">
        <v>5484</v>
      </c>
      <c r="L56" s="61">
        <f t="shared" si="8"/>
        <v>-2489</v>
      </c>
      <c r="M56" s="62">
        <f t="shared" si="9"/>
        <v>-0.31217860278439735</v>
      </c>
      <c r="O56" s="61">
        <v>5141.25</v>
      </c>
      <c r="P56" s="61">
        <f t="shared" si="10"/>
        <v>-2831.75</v>
      </c>
      <c r="Q56" s="62">
        <f t="shared" si="11"/>
        <v>-0.35516744011037249</v>
      </c>
      <c r="S56" s="60">
        <v>13838</v>
      </c>
      <c r="T56" s="50">
        <v>21420</v>
      </c>
      <c r="U56" s="70"/>
    </row>
    <row r="57" spans="1:21">
      <c r="A57" s="67">
        <v>20</v>
      </c>
      <c r="B57" s="74" t="s">
        <v>40</v>
      </c>
      <c r="C57" s="60">
        <v>7378</v>
      </c>
      <c r="D57" s="125" t="s">
        <v>365</v>
      </c>
      <c r="G57" s="61">
        <v>8508</v>
      </c>
      <c r="H57" s="61">
        <f t="shared" si="7"/>
        <v>1130</v>
      </c>
      <c r="I57" s="62">
        <f t="shared" si="6"/>
        <v>0.1531580374085118</v>
      </c>
      <c r="K57" s="61">
        <v>6806.4</v>
      </c>
      <c r="L57" s="61">
        <f t="shared" si="8"/>
        <v>-571.60000000000036</v>
      </c>
      <c r="M57" s="62">
        <f t="shared" si="9"/>
        <v>-7.7473570073190612E-2</v>
      </c>
      <c r="O57" s="61">
        <v>6381</v>
      </c>
      <c r="P57" s="61">
        <f t="shared" si="10"/>
        <v>-997</v>
      </c>
      <c r="Q57" s="62">
        <f t="shared" si="11"/>
        <v>-0.13513147194361616</v>
      </c>
      <c r="S57" s="60">
        <v>2200</v>
      </c>
      <c r="T57" s="50">
        <v>3597</v>
      </c>
    </row>
    <row r="58" spans="1:21">
      <c r="A58" s="67">
        <v>21</v>
      </c>
      <c r="B58" s="74" t="s">
        <v>41</v>
      </c>
      <c r="C58" s="60">
        <v>4363</v>
      </c>
      <c r="D58" s="125" t="s">
        <v>365</v>
      </c>
      <c r="G58" s="61">
        <v>4185</v>
      </c>
      <c r="H58" s="61">
        <f t="shared" si="7"/>
        <v>-178</v>
      </c>
      <c r="I58" s="62">
        <f t="shared" si="6"/>
        <v>-4.0797616319046527E-2</v>
      </c>
      <c r="K58" s="61">
        <v>3348</v>
      </c>
      <c r="L58" s="61">
        <f t="shared" si="8"/>
        <v>-1015</v>
      </c>
      <c r="M58" s="62">
        <f t="shared" si="9"/>
        <v>-0.23263809305523722</v>
      </c>
      <c r="O58" s="61">
        <v>3138.75</v>
      </c>
      <c r="P58" s="61">
        <f t="shared" si="10"/>
        <v>-1224.25</v>
      </c>
      <c r="Q58" s="62">
        <f t="shared" si="11"/>
        <v>-0.28059821223928488</v>
      </c>
      <c r="S58" s="60">
        <v>2233</v>
      </c>
      <c r="T58" s="50">
        <v>5831</v>
      </c>
    </row>
    <row r="59" spans="1:21">
      <c r="A59" s="67">
        <v>22</v>
      </c>
      <c r="B59" s="74" t="s">
        <v>42</v>
      </c>
      <c r="C59" s="60">
        <v>7378</v>
      </c>
      <c r="D59" s="125" t="s">
        <v>365</v>
      </c>
      <c r="G59" s="61">
        <v>5452</v>
      </c>
      <c r="H59" s="61">
        <f t="shared" si="7"/>
        <v>-1926</v>
      </c>
      <c r="I59" s="62">
        <f t="shared" si="6"/>
        <v>-0.26104635402548115</v>
      </c>
      <c r="K59" s="61">
        <v>4361.6000000000004</v>
      </c>
      <c r="L59" s="61">
        <f t="shared" si="8"/>
        <v>-3016.3999999999996</v>
      </c>
      <c r="M59" s="62">
        <f t="shared" si="9"/>
        <v>-0.40883708322038487</v>
      </c>
      <c r="O59" s="61">
        <v>4089</v>
      </c>
      <c r="P59" s="61">
        <f t="shared" si="10"/>
        <v>-3289</v>
      </c>
      <c r="Q59" s="62">
        <f t="shared" si="11"/>
        <v>-0.44578476551911089</v>
      </c>
      <c r="S59" s="60">
        <v>1738</v>
      </c>
      <c r="T59" s="50">
        <v>2618</v>
      </c>
    </row>
    <row r="60" spans="1:21">
      <c r="A60" s="67">
        <v>23</v>
      </c>
      <c r="B60" s="74" t="s">
        <v>43</v>
      </c>
      <c r="C60" s="60">
        <v>2380</v>
      </c>
      <c r="D60" s="125" t="s">
        <v>365</v>
      </c>
      <c r="G60" s="61">
        <v>2593</v>
      </c>
      <c r="H60" s="61">
        <f t="shared" si="7"/>
        <v>213</v>
      </c>
      <c r="I60" s="62">
        <f t="shared" si="6"/>
        <v>8.9495798319327732E-2</v>
      </c>
      <c r="K60" s="61">
        <v>2074.4</v>
      </c>
      <c r="L60" s="61">
        <f t="shared" si="8"/>
        <v>-305.59999999999991</v>
      </c>
      <c r="M60" s="62">
        <f t="shared" si="9"/>
        <v>-0.12840336134453778</v>
      </c>
      <c r="O60" s="61">
        <v>1944.75</v>
      </c>
      <c r="P60" s="61">
        <f t="shared" si="10"/>
        <v>-435.25</v>
      </c>
      <c r="Q60" s="62">
        <f t="shared" si="11"/>
        <v>-0.18287815126050419</v>
      </c>
      <c r="S60" s="60">
        <v>1488</v>
      </c>
      <c r="T60" s="50">
        <v>1785</v>
      </c>
    </row>
    <row r="61" spans="1:21">
      <c r="A61" s="67">
        <v>24</v>
      </c>
      <c r="B61" s="74" t="s">
        <v>44</v>
      </c>
      <c r="C61" s="60">
        <v>2202</v>
      </c>
      <c r="D61" s="125" t="s">
        <v>365</v>
      </c>
      <c r="G61" s="61">
        <v>1719</v>
      </c>
      <c r="H61" s="61">
        <f t="shared" si="7"/>
        <v>-483</v>
      </c>
      <c r="I61" s="62">
        <f t="shared" si="6"/>
        <v>-0.21934604904632152</v>
      </c>
      <c r="K61" s="61">
        <v>1375.2</v>
      </c>
      <c r="L61" s="61">
        <f t="shared" si="8"/>
        <v>-826.8</v>
      </c>
      <c r="M61" s="62">
        <f t="shared" si="9"/>
        <v>-0.37547683923705721</v>
      </c>
      <c r="O61" s="61">
        <v>1289.25</v>
      </c>
      <c r="P61" s="61">
        <f t="shared" si="10"/>
        <v>-912.75</v>
      </c>
      <c r="Q61" s="62">
        <f t="shared" si="11"/>
        <v>-0.41450953678474112</v>
      </c>
      <c r="S61" s="60">
        <v>4332</v>
      </c>
      <c r="T61" s="50">
        <v>5177</v>
      </c>
    </row>
    <row r="62" spans="1:21">
      <c r="A62" s="67">
        <v>25</v>
      </c>
      <c r="B62" s="74" t="s">
        <v>367</v>
      </c>
      <c r="C62" s="60">
        <v>7681</v>
      </c>
      <c r="D62" s="125" t="s">
        <v>365</v>
      </c>
      <c r="G62" s="61">
        <v>4907</v>
      </c>
      <c r="H62" s="61">
        <f t="shared" si="7"/>
        <v>-2774</v>
      </c>
      <c r="I62" s="62">
        <f t="shared" si="6"/>
        <v>-0.3611508918109621</v>
      </c>
      <c r="K62" s="61">
        <v>3925.6</v>
      </c>
      <c r="L62" s="61">
        <f t="shared" si="8"/>
        <v>-3755.4</v>
      </c>
      <c r="M62" s="62">
        <f t="shared" si="9"/>
        <v>-0.48892071344876969</v>
      </c>
      <c r="O62" s="61">
        <v>3680.25</v>
      </c>
      <c r="P62" s="61">
        <f t="shared" si="10"/>
        <v>-4000.75</v>
      </c>
      <c r="Q62" s="62">
        <f t="shared" si="11"/>
        <v>-0.52086316885822159</v>
      </c>
      <c r="S62" s="60">
        <v>1481</v>
      </c>
      <c r="T62" s="50">
        <v>2499</v>
      </c>
    </row>
    <row r="63" spans="1:21">
      <c r="A63" s="67">
        <v>26</v>
      </c>
      <c r="B63" s="74" t="s">
        <v>45</v>
      </c>
      <c r="C63" s="60">
        <v>2677</v>
      </c>
      <c r="D63" s="125" t="s">
        <v>365</v>
      </c>
      <c r="G63" s="61">
        <v>3069</v>
      </c>
      <c r="H63" s="61">
        <f t="shared" si="7"/>
        <v>392</v>
      </c>
      <c r="I63" s="62">
        <f t="shared" si="6"/>
        <v>0.14643257377661562</v>
      </c>
      <c r="K63" s="61">
        <v>2455.1999999999998</v>
      </c>
      <c r="L63" s="61">
        <f t="shared" si="8"/>
        <v>-221.80000000000018</v>
      </c>
      <c r="M63" s="62">
        <f t="shared" si="9"/>
        <v>-8.2853940978707574E-2</v>
      </c>
      <c r="O63" s="61">
        <v>2301.75</v>
      </c>
      <c r="P63" s="61">
        <f t="shared" si="10"/>
        <v>-375.25</v>
      </c>
      <c r="Q63" s="62">
        <f t="shared" si="11"/>
        <v>-0.1401755696675383</v>
      </c>
      <c r="S63" s="60">
        <v>10800</v>
      </c>
      <c r="T63" s="50">
        <v>2499</v>
      </c>
      <c r="U63" s="70"/>
    </row>
    <row r="64" spans="1:21">
      <c r="A64" s="67">
        <v>27</v>
      </c>
      <c r="B64" s="74" t="s">
        <v>46</v>
      </c>
      <c r="C64" s="60">
        <v>5831</v>
      </c>
      <c r="D64" s="125" t="s">
        <v>365</v>
      </c>
      <c r="G64" s="61">
        <v>4173</v>
      </c>
      <c r="H64" s="61">
        <f t="shared" si="7"/>
        <v>-1658</v>
      </c>
      <c r="I64" s="62">
        <f t="shared" si="6"/>
        <v>-0.28434230835191221</v>
      </c>
      <c r="K64" s="61">
        <v>3338.4</v>
      </c>
      <c r="L64" s="61">
        <f t="shared" si="8"/>
        <v>-2492.6</v>
      </c>
      <c r="M64" s="62">
        <f t="shared" si="9"/>
        <v>-0.42747384668152971</v>
      </c>
      <c r="O64" s="61">
        <v>3129.75</v>
      </c>
      <c r="P64" s="61">
        <f t="shared" si="10"/>
        <v>-2701.25</v>
      </c>
      <c r="Q64" s="62">
        <f t="shared" si="11"/>
        <v>-0.46325673126393413</v>
      </c>
      <c r="S64" s="60">
        <v>11936</v>
      </c>
      <c r="T64" s="50">
        <v>12341</v>
      </c>
    </row>
    <row r="65" spans="1:20">
      <c r="A65" s="67">
        <v>28</v>
      </c>
      <c r="B65" s="74" t="s">
        <v>47</v>
      </c>
      <c r="C65" s="60">
        <v>2618</v>
      </c>
      <c r="D65" s="125" t="s">
        <v>365</v>
      </c>
      <c r="G65" s="61">
        <v>2509</v>
      </c>
      <c r="H65" s="61">
        <f t="shared" si="7"/>
        <v>-109</v>
      </c>
      <c r="I65" s="62">
        <f t="shared" si="6"/>
        <v>-4.1634835752482814E-2</v>
      </c>
      <c r="K65" s="61">
        <v>2007.2</v>
      </c>
      <c r="L65" s="61">
        <f t="shared" si="8"/>
        <v>-610.79999999999995</v>
      </c>
      <c r="M65" s="62">
        <f t="shared" si="9"/>
        <v>-0.23330786860198624</v>
      </c>
      <c r="O65" s="61">
        <v>1881.75</v>
      </c>
      <c r="P65" s="61">
        <f t="shared" si="10"/>
        <v>-736.25</v>
      </c>
      <c r="Q65" s="62">
        <f t="shared" si="11"/>
        <v>-0.2812261268143621</v>
      </c>
      <c r="S65" s="60">
        <v>3642</v>
      </c>
      <c r="T65" s="50">
        <v>6545</v>
      </c>
    </row>
    <row r="66" spans="1:20">
      <c r="A66" s="67">
        <v>29</v>
      </c>
      <c r="B66" s="74" t="s">
        <v>48</v>
      </c>
      <c r="C66" s="60">
        <v>1599</v>
      </c>
      <c r="D66" s="125" t="s">
        <v>365</v>
      </c>
      <c r="G66" s="61">
        <v>1744</v>
      </c>
      <c r="H66" s="61">
        <f t="shared" si="7"/>
        <v>145</v>
      </c>
      <c r="I66" s="62">
        <f t="shared" si="6"/>
        <v>9.0681676047529705E-2</v>
      </c>
      <c r="K66" s="61">
        <v>1395.2</v>
      </c>
      <c r="L66" s="61">
        <f t="shared" si="8"/>
        <v>-203.79999999999995</v>
      </c>
      <c r="M66" s="62">
        <f t="shared" si="9"/>
        <v>-0.12745465916197621</v>
      </c>
      <c r="O66" s="61">
        <v>1308</v>
      </c>
      <c r="P66" s="61">
        <f t="shared" si="10"/>
        <v>-291</v>
      </c>
      <c r="Q66" s="62">
        <f t="shared" si="11"/>
        <v>-0.18198874296435272</v>
      </c>
      <c r="S66" s="60">
        <v>1785</v>
      </c>
      <c r="T66" s="50">
        <v>2023</v>
      </c>
    </row>
    <row r="67" spans="1:20">
      <c r="A67" s="67">
        <v>30</v>
      </c>
      <c r="B67" s="74" t="s">
        <v>49</v>
      </c>
      <c r="C67" s="60">
        <v>5831</v>
      </c>
      <c r="D67" s="125" t="s">
        <v>365</v>
      </c>
      <c r="G67" s="61">
        <v>5064</v>
      </c>
      <c r="H67" s="61">
        <f t="shared" si="7"/>
        <v>-767</v>
      </c>
      <c r="I67" s="62">
        <f t="shared" si="6"/>
        <v>-0.13153832961756132</v>
      </c>
      <c r="K67" s="61">
        <v>4051.2</v>
      </c>
      <c r="L67" s="61">
        <f t="shared" si="8"/>
        <v>-1779.8000000000002</v>
      </c>
      <c r="M67" s="62">
        <f t="shared" si="9"/>
        <v>-0.30523066369404905</v>
      </c>
      <c r="O67" s="61">
        <v>3798</v>
      </c>
      <c r="P67" s="61">
        <f t="shared" si="10"/>
        <v>-2033</v>
      </c>
      <c r="Q67" s="62">
        <f t="shared" si="11"/>
        <v>-0.34865374721317099</v>
      </c>
      <c r="S67" s="60">
        <v>10104</v>
      </c>
      <c r="T67" s="50">
        <v>11722</v>
      </c>
    </row>
    <row r="68" spans="1:20">
      <c r="A68" s="67">
        <v>31</v>
      </c>
      <c r="B68" s="74" t="s">
        <v>50</v>
      </c>
      <c r="C68" s="60">
        <v>2499</v>
      </c>
      <c r="D68" s="125" t="s">
        <v>365</v>
      </c>
      <c r="G68" s="61">
        <v>1990</v>
      </c>
      <c r="H68" s="61">
        <f t="shared" si="7"/>
        <v>-509</v>
      </c>
      <c r="I68" s="62">
        <f t="shared" si="6"/>
        <v>-0.2036814725890356</v>
      </c>
      <c r="K68" s="61">
        <v>1592</v>
      </c>
      <c r="L68" s="61">
        <f t="shared" si="8"/>
        <v>-907</v>
      </c>
      <c r="M68" s="62">
        <f t="shared" si="9"/>
        <v>-0.3629451780712285</v>
      </c>
      <c r="O68" s="61">
        <v>1492.5</v>
      </c>
      <c r="P68" s="61">
        <f t="shared" si="10"/>
        <v>-1006.5</v>
      </c>
      <c r="Q68" s="62">
        <f t="shared" si="11"/>
        <v>-0.40276110444177671</v>
      </c>
      <c r="S68" s="60">
        <v>3278</v>
      </c>
      <c r="T68" s="50">
        <v>2892</v>
      </c>
    </row>
    <row r="69" spans="1:20">
      <c r="A69" s="67">
        <v>32</v>
      </c>
      <c r="B69" s="74" t="s">
        <v>51</v>
      </c>
      <c r="C69" s="60">
        <v>25200</v>
      </c>
      <c r="D69" s="125" t="s">
        <v>365</v>
      </c>
      <c r="G69" s="61">
        <v>13286</v>
      </c>
      <c r="H69" s="61">
        <f t="shared" si="7"/>
        <v>-11914</v>
      </c>
      <c r="I69" s="62">
        <f t="shared" si="6"/>
        <v>-0.4727777777777778</v>
      </c>
      <c r="K69" s="61">
        <v>10628.8</v>
      </c>
      <c r="L69" s="61">
        <f t="shared" si="8"/>
        <v>-14571.2</v>
      </c>
      <c r="M69" s="62">
        <f t="shared" si="9"/>
        <v>-0.5782222222222223</v>
      </c>
      <c r="O69" s="61">
        <v>9964.5</v>
      </c>
      <c r="P69" s="61">
        <f t="shared" si="10"/>
        <v>-15235.5</v>
      </c>
      <c r="Q69" s="62">
        <f t="shared" si="11"/>
        <v>-0.60458333333333336</v>
      </c>
      <c r="S69" s="60">
        <v>2549</v>
      </c>
      <c r="T69" s="50">
        <v>3551</v>
      </c>
    </row>
    <row r="70" spans="1:20">
      <c r="A70" s="67">
        <v>33</v>
      </c>
      <c r="B70" s="74" t="s">
        <v>52</v>
      </c>
      <c r="C70" s="60">
        <v>14042</v>
      </c>
      <c r="D70" s="125" t="s">
        <v>365</v>
      </c>
      <c r="G70" s="61">
        <v>11723</v>
      </c>
      <c r="H70" s="61">
        <f t="shared" si="7"/>
        <v>-2319</v>
      </c>
      <c r="I70" s="62">
        <f t="shared" si="6"/>
        <v>-0.16514741489816265</v>
      </c>
      <c r="K70" s="61">
        <v>9378.4</v>
      </c>
      <c r="L70" s="61">
        <f t="shared" si="8"/>
        <v>-4663.6000000000004</v>
      </c>
      <c r="M70" s="62">
        <f t="shared" si="9"/>
        <v>-0.33211793191853017</v>
      </c>
      <c r="O70" s="61">
        <v>8792.25</v>
      </c>
      <c r="P70" s="61">
        <f t="shared" si="10"/>
        <v>-5249.75</v>
      </c>
      <c r="Q70" s="62">
        <f t="shared" si="11"/>
        <v>-0.37386056117362199</v>
      </c>
      <c r="S70" s="60">
        <v>7140</v>
      </c>
      <c r="T70" s="50">
        <v>11841</v>
      </c>
    </row>
    <row r="71" spans="1:20">
      <c r="A71" s="67">
        <v>34</v>
      </c>
      <c r="B71" s="74" t="s">
        <v>53</v>
      </c>
      <c r="C71" s="60">
        <v>7140</v>
      </c>
      <c r="D71" s="125" t="s">
        <v>365</v>
      </c>
      <c r="G71" s="61">
        <v>3084</v>
      </c>
      <c r="H71" s="61">
        <f t="shared" si="7"/>
        <v>-4056</v>
      </c>
      <c r="I71" s="62">
        <f t="shared" si="6"/>
        <v>-0.56806722689075628</v>
      </c>
      <c r="K71" s="61">
        <v>2467.1999999999998</v>
      </c>
      <c r="L71" s="61">
        <f t="shared" si="8"/>
        <v>-4672.8</v>
      </c>
      <c r="M71" s="62">
        <f t="shared" si="9"/>
        <v>-0.65445378151260503</v>
      </c>
      <c r="O71" s="61">
        <v>2313</v>
      </c>
      <c r="P71" s="61">
        <f t="shared" si="10"/>
        <v>-4827</v>
      </c>
      <c r="Q71" s="62">
        <f t="shared" si="11"/>
        <v>-0.67605042016806727</v>
      </c>
      <c r="S71" s="60">
        <v>3332</v>
      </c>
      <c r="T71" s="50">
        <v>7021</v>
      </c>
    </row>
    <row r="72" spans="1:20">
      <c r="A72" s="67">
        <v>35</v>
      </c>
      <c r="B72" s="74" t="s">
        <v>54</v>
      </c>
      <c r="C72" s="60">
        <v>2291</v>
      </c>
      <c r="D72" s="125" t="s">
        <v>365</v>
      </c>
      <c r="G72" s="61">
        <v>2692</v>
      </c>
      <c r="H72" s="61">
        <f t="shared" si="7"/>
        <v>401</v>
      </c>
      <c r="I72" s="62">
        <f t="shared" si="6"/>
        <v>0.17503273679615888</v>
      </c>
      <c r="K72" s="61">
        <v>2153.6</v>
      </c>
      <c r="L72" s="61">
        <f t="shared" si="8"/>
        <v>-137.40000000000009</v>
      </c>
      <c r="M72" s="62">
        <f t="shared" si="9"/>
        <v>-5.9973810563072931E-2</v>
      </c>
      <c r="O72" s="61">
        <v>2019</v>
      </c>
      <c r="P72" s="61">
        <f t="shared" si="10"/>
        <v>-272</v>
      </c>
      <c r="Q72" s="62">
        <f t="shared" si="11"/>
        <v>-0.11872544740288084</v>
      </c>
      <c r="S72" s="60">
        <v>10004</v>
      </c>
      <c r="T72" s="50">
        <v>10566</v>
      </c>
    </row>
    <row r="73" spans="1:20">
      <c r="A73" s="67">
        <v>36</v>
      </c>
      <c r="B73" s="74" t="s">
        <v>55</v>
      </c>
      <c r="C73" s="60">
        <v>13275</v>
      </c>
      <c r="D73" s="125" t="s">
        <v>365</v>
      </c>
      <c r="G73" s="61">
        <v>10365</v>
      </c>
      <c r="H73" s="61">
        <f t="shared" si="7"/>
        <v>-2910</v>
      </c>
      <c r="I73" s="62">
        <f t="shared" si="6"/>
        <v>-0.21920903954802259</v>
      </c>
      <c r="K73" s="61">
        <v>8292</v>
      </c>
      <c r="L73" s="61">
        <f t="shared" si="8"/>
        <v>-4983</v>
      </c>
      <c r="M73" s="62">
        <f t="shared" si="9"/>
        <v>-0.37536723163841806</v>
      </c>
      <c r="O73" s="61">
        <v>7773.75</v>
      </c>
      <c r="P73" s="61">
        <f t="shared" si="10"/>
        <v>-5501.25</v>
      </c>
      <c r="Q73" s="62">
        <f t="shared" si="11"/>
        <v>-0.41440677966101697</v>
      </c>
      <c r="S73" s="60">
        <v>2304</v>
      </c>
      <c r="T73" s="50">
        <v>4344</v>
      </c>
    </row>
    <row r="74" spans="1:20">
      <c r="A74" s="67">
        <v>37</v>
      </c>
      <c r="B74" s="74" t="s">
        <v>56</v>
      </c>
      <c r="C74" s="60">
        <v>2856</v>
      </c>
      <c r="D74" s="125" t="s">
        <v>365</v>
      </c>
      <c r="G74" s="61">
        <v>3027</v>
      </c>
      <c r="H74" s="61">
        <f t="shared" si="7"/>
        <v>171</v>
      </c>
      <c r="I74" s="62">
        <f t="shared" si="6"/>
        <v>5.9873949579831935E-2</v>
      </c>
      <c r="K74" s="61">
        <v>2421.6</v>
      </c>
      <c r="L74" s="61">
        <f t="shared" si="8"/>
        <v>-434.40000000000009</v>
      </c>
      <c r="M74" s="62">
        <f t="shared" si="9"/>
        <v>-0.1521008403361345</v>
      </c>
      <c r="O74" s="61">
        <v>2270.25</v>
      </c>
      <c r="P74" s="61">
        <f t="shared" si="10"/>
        <v>-585.75</v>
      </c>
      <c r="Q74" s="62">
        <f t="shared" si="11"/>
        <v>-0.20509453781512604</v>
      </c>
      <c r="S74" s="60">
        <v>3332</v>
      </c>
      <c r="T74" s="50">
        <v>4701</v>
      </c>
    </row>
    <row r="75" spans="1:20">
      <c r="A75" s="67">
        <v>38</v>
      </c>
      <c r="B75" s="74" t="s">
        <v>57</v>
      </c>
      <c r="C75" s="60">
        <v>2618</v>
      </c>
      <c r="D75" s="125" t="s">
        <v>365</v>
      </c>
      <c r="G75" s="61">
        <v>1879</v>
      </c>
      <c r="H75" s="61">
        <f t="shared" si="7"/>
        <v>-739</v>
      </c>
      <c r="I75" s="62">
        <f t="shared" si="6"/>
        <v>-0.28227654698242932</v>
      </c>
      <c r="K75" s="61">
        <v>1503.2</v>
      </c>
      <c r="L75" s="61">
        <f t="shared" si="8"/>
        <v>-1114.8</v>
      </c>
      <c r="M75" s="62">
        <f t="shared" si="9"/>
        <v>-0.42582123758594342</v>
      </c>
      <c r="O75" s="61">
        <v>1409.25</v>
      </c>
      <c r="P75" s="61">
        <f t="shared" si="10"/>
        <v>-1208.75</v>
      </c>
      <c r="Q75" s="62">
        <f t="shared" si="11"/>
        <v>-0.46170741023682199</v>
      </c>
      <c r="S75" s="60">
        <v>4165</v>
      </c>
      <c r="T75" s="50">
        <v>4307</v>
      </c>
    </row>
    <row r="76" spans="1:20">
      <c r="A76" s="67">
        <v>39</v>
      </c>
      <c r="B76" s="74" t="s">
        <v>58</v>
      </c>
      <c r="C76" s="60">
        <v>8687</v>
      </c>
      <c r="D76" s="125" t="s">
        <v>365</v>
      </c>
      <c r="G76" s="61">
        <v>5937</v>
      </c>
      <c r="H76" s="61">
        <f t="shared" si="7"/>
        <v>-2750</v>
      </c>
      <c r="I76" s="62">
        <f t="shared" si="6"/>
        <v>-0.31656498215724643</v>
      </c>
      <c r="K76" s="61">
        <v>4749.6000000000004</v>
      </c>
      <c r="L76" s="61">
        <f t="shared" si="8"/>
        <v>-3937.3999999999996</v>
      </c>
      <c r="M76" s="62">
        <f t="shared" si="9"/>
        <v>-0.45325198572579711</v>
      </c>
      <c r="O76" s="61">
        <v>4452.75</v>
      </c>
      <c r="P76" s="61">
        <f t="shared" si="10"/>
        <v>-4234.25</v>
      </c>
      <c r="Q76" s="62">
        <f t="shared" si="11"/>
        <v>-0.48742373661793487</v>
      </c>
      <c r="S76" s="60">
        <v>10686</v>
      </c>
      <c r="T76" s="50">
        <v>17136</v>
      </c>
    </row>
    <row r="77" spans="1:20">
      <c r="A77" s="67">
        <v>40</v>
      </c>
      <c r="B77" s="74" t="s">
        <v>59</v>
      </c>
      <c r="C77" s="60">
        <v>13409</v>
      </c>
      <c r="D77" s="125" t="s">
        <v>365</v>
      </c>
      <c r="G77" s="61">
        <v>4579</v>
      </c>
      <c r="H77" s="61">
        <f t="shared" si="7"/>
        <v>-8830</v>
      </c>
      <c r="I77" s="62">
        <f t="shared" si="6"/>
        <v>-0.65851293907077335</v>
      </c>
      <c r="K77" s="61">
        <v>3663.2</v>
      </c>
      <c r="L77" s="61">
        <f t="shared" si="8"/>
        <v>-9745.7999999999993</v>
      </c>
      <c r="M77" s="62">
        <f t="shared" si="9"/>
        <v>-0.72681035125661864</v>
      </c>
      <c r="O77" s="61">
        <v>3434.25</v>
      </c>
      <c r="P77" s="61">
        <f t="shared" si="10"/>
        <v>-9974.75</v>
      </c>
      <c r="Q77" s="62">
        <f t="shared" si="11"/>
        <v>-0.74388470430308007</v>
      </c>
      <c r="S77" s="60">
        <v>6209</v>
      </c>
      <c r="T77" s="50">
        <v>8033</v>
      </c>
    </row>
    <row r="78" spans="1:20">
      <c r="A78" s="67">
        <v>41</v>
      </c>
      <c r="B78" s="74" t="s">
        <v>60</v>
      </c>
      <c r="C78" s="60">
        <v>3332</v>
      </c>
      <c r="D78" s="125" t="s">
        <v>365</v>
      </c>
      <c r="G78" s="61">
        <v>1736</v>
      </c>
      <c r="H78" s="61">
        <f t="shared" si="7"/>
        <v>-1596</v>
      </c>
      <c r="I78" s="62">
        <f t="shared" si="6"/>
        <v>-0.47899159663865548</v>
      </c>
      <c r="K78" s="61">
        <v>1388.8</v>
      </c>
      <c r="L78" s="61">
        <f t="shared" si="8"/>
        <v>-1943.2</v>
      </c>
      <c r="M78" s="62">
        <f t="shared" si="9"/>
        <v>-0.58319327731092441</v>
      </c>
      <c r="O78" s="61">
        <v>1302</v>
      </c>
      <c r="P78" s="61">
        <f t="shared" si="10"/>
        <v>-2030</v>
      </c>
      <c r="Q78" s="62">
        <f t="shared" si="11"/>
        <v>-0.60924369747899154</v>
      </c>
      <c r="S78" s="60">
        <v>6783</v>
      </c>
      <c r="T78" s="50">
        <v>8271</v>
      </c>
    </row>
    <row r="79" spans="1:20">
      <c r="A79" s="67">
        <v>42</v>
      </c>
      <c r="B79" s="74" t="s">
        <v>61</v>
      </c>
      <c r="C79" s="60">
        <v>4629</v>
      </c>
      <c r="D79" s="125" t="s">
        <v>365</v>
      </c>
      <c r="G79" s="61">
        <v>2827</v>
      </c>
      <c r="H79" s="61">
        <f t="shared" si="7"/>
        <v>-1802</v>
      </c>
      <c r="I79" s="62">
        <f t="shared" si="6"/>
        <v>-0.38928494275221431</v>
      </c>
      <c r="K79" s="61">
        <v>2261.6</v>
      </c>
      <c r="L79" s="61">
        <f t="shared" si="8"/>
        <v>-2367.4</v>
      </c>
      <c r="M79" s="62">
        <f t="shared" si="9"/>
        <v>-0.51142795420177145</v>
      </c>
      <c r="O79" s="61">
        <v>2120.25</v>
      </c>
      <c r="P79" s="61">
        <f t="shared" si="10"/>
        <v>-2508.75</v>
      </c>
      <c r="Q79" s="62">
        <f t="shared" si="11"/>
        <v>-0.54196370706416075</v>
      </c>
      <c r="S79" s="60">
        <v>17255</v>
      </c>
      <c r="T79" s="50">
        <v>17255</v>
      </c>
    </row>
    <row r="80" spans="1:20">
      <c r="A80" s="67">
        <v>43</v>
      </c>
      <c r="B80" s="74" t="s">
        <v>62</v>
      </c>
      <c r="C80" s="60">
        <v>4877</v>
      </c>
      <c r="D80" s="125" t="s">
        <v>365</v>
      </c>
      <c r="G80" s="61">
        <v>7218</v>
      </c>
      <c r="H80" s="61">
        <f t="shared" si="7"/>
        <v>2341</v>
      </c>
      <c r="I80" s="62">
        <f t="shared" si="6"/>
        <v>0.48000820176337911</v>
      </c>
      <c r="K80" s="61">
        <v>5774.4</v>
      </c>
      <c r="L80" s="61">
        <f t="shared" si="8"/>
        <v>897.39999999999964</v>
      </c>
      <c r="M80" s="62">
        <f t="shared" si="9"/>
        <v>0.18400656141070323</v>
      </c>
      <c r="O80" s="61">
        <v>5413.5</v>
      </c>
      <c r="P80" s="61">
        <f t="shared" si="10"/>
        <v>536.5</v>
      </c>
      <c r="Q80" s="62">
        <f t="shared" si="11"/>
        <v>0.11000615132253434</v>
      </c>
      <c r="S80" s="60">
        <v>23562</v>
      </c>
      <c r="T80" s="50">
        <v>29750</v>
      </c>
    </row>
    <row r="81" spans="1:20">
      <c r="A81" s="67">
        <v>44</v>
      </c>
      <c r="B81" s="74" t="s">
        <v>63</v>
      </c>
      <c r="C81" s="60">
        <v>19873</v>
      </c>
      <c r="D81" s="125" t="s">
        <v>365</v>
      </c>
      <c r="G81" s="61">
        <v>17640</v>
      </c>
      <c r="H81" s="61">
        <f t="shared" si="7"/>
        <v>-2233</v>
      </c>
      <c r="I81" s="62">
        <f t="shared" si="6"/>
        <v>-0.11236350827756252</v>
      </c>
      <c r="K81" s="61">
        <v>14112</v>
      </c>
      <c r="L81" s="61">
        <f t="shared" si="8"/>
        <v>-5761</v>
      </c>
      <c r="M81" s="62">
        <f t="shared" si="9"/>
        <v>-0.28989080662205002</v>
      </c>
      <c r="O81" s="61">
        <v>13230</v>
      </c>
      <c r="P81" s="61">
        <f t="shared" si="10"/>
        <v>-6643</v>
      </c>
      <c r="Q81" s="62">
        <f t="shared" si="11"/>
        <v>-0.33427263120817191</v>
      </c>
      <c r="S81" s="60">
        <v>15708</v>
      </c>
      <c r="T81" s="50">
        <v>18088</v>
      </c>
    </row>
    <row r="82" spans="1:20">
      <c r="A82" s="67">
        <v>45</v>
      </c>
      <c r="B82" s="74" t="s">
        <v>64</v>
      </c>
      <c r="C82" s="60">
        <v>9097</v>
      </c>
      <c r="D82" s="125" t="s">
        <v>365</v>
      </c>
      <c r="G82" s="61">
        <v>7349</v>
      </c>
      <c r="H82" s="61">
        <f t="shared" si="7"/>
        <v>-1748</v>
      </c>
      <c r="I82" s="62">
        <f t="shared" si="6"/>
        <v>-0.19215125865670002</v>
      </c>
      <c r="K82" s="61">
        <v>5879.2</v>
      </c>
      <c r="L82" s="61">
        <f t="shared" si="8"/>
        <v>-3217.8</v>
      </c>
      <c r="M82" s="62">
        <f t="shared" si="9"/>
        <v>-0.35372100692536002</v>
      </c>
      <c r="O82" s="61">
        <v>5511.75</v>
      </c>
      <c r="P82" s="61">
        <f t="shared" si="10"/>
        <v>-3585.25</v>
      </c>
      <c r="Q82" s="62">
        <f t="shared" si="11"/>
        <v>-0.39411344399252501</v>
      </c>
      <c r="S82" s="60">
        <v>4599</v>
      </c>
      <c r="T82" s="50">
        <v>7021</v>
      </c>
    </row>
    <row r="83" spans="1:20">
      <c r="A83" s="67">
        <v>46</v>
      </c>
      <c r="B83" s="74" t="s">
        <v>65</v>
      </c>
      <c r="C83" s="60">
        <v>9461</v>
      </c>
      <c r="D83" s="125" t="s">
        <v>365</v>
      </c>
      <c r="G83" s="61">
        <v>7349</v>
      </c>
      <c r="H83" s="61">
        <f t="shared" si="7"/>
        <v>-2112</v>
      </c>
      <c r="I83" s="62">
        <f t="shared" si="6"/>
        <v>-0.22323221646760386</v>
      </c>
      <c r="K83" s="61">
        <v>5879.2</v>
      </c>
      <c r="L83" s="61">
        <f t="shared" si="8"/>
        <v>-3581.8</v>
      </c>
      <c r="M83" s="62">
        <f t="shared" si="9"/>
        <v>-0.3785857731740831</v>
      </c>
      <c r="O83" s="61">
        <v>5511.75</v>
      </c>
      <c r="P83" s="61">
        <f t="shared" si="10"/>
        <v>-3949.25</v>
      </c>
      <c r="Q83" s="62">
        <f t="shared" si="11"/>
        <v>-0.4174241623507029</v>
      </c>
      <c r="S83" s="60">
        <v>11305</v>
      </c>
      <c r="T83" s="50">
        <v>12431</v>
      </c>
    </row>
    <row r="84" spans="1:20">
      <c r="A84" s="67">
        <v>47</v>
      </c>
      <c r="B84" s="74" t="s">
        <v>66</v>
      </c>
      <c r="C84" s="60">
        <v>32725</v>
      </c>
      <c r="D84" s="125" t="s">
        <v>365</v>
      </c>
      <c r="G84" s="61">
        <v>13607</v>
      </c>
      <c r="H84" s="61">
        <f t="shared" si="7"/>
        <v>-19118</v>
      </c>
      <c r="I84" s="62">
        <f t="shared" si="6"/>
        <v>-0.58420168067226885</v>
      </c>
      <c r="K84" s="61">
        <v>10885.6</v>
      </c>
      <c r="L84" s="61">
        <f t="shared" si="8"/>
        <v>-21839.4</v>
      </c>
      <c r="M84" s="62">
        <f t="shared" si="9"/>
        <v>-0.66736134453781515</v>
      </c>
      <c r="O84" s="61">
        <v>10205.25</v>
      </c>
      <c r="P84" s="61">
        <f t="shared" si="10"/>
        <v>-22519.75</v>
      </c>
      <c r="Q84" s="62">
        <f t="shared" si="11"/>
        <v>-0.68815126050420172</v>
      </c>
      <c r="S84" s="60">
        <v>4760</v>
      </c>
      <c r="T84" s="50">
        <v>7021</v>
      </c>
    </row>
    <row r="85" spans="1:20">
      <c r="A85" s="67">
        <v>48</v>
      </c>
      <c r="B85" s="74" t="s">
        <v>67</v>
      </c>
      <c r="C85" s="60">
        <v>29750</v>
      </c>
      <c r="D85" s="125" t="s">
        <v>365</v>
      </c>
      <c r="G85" s="61">
        <v>30644</v>
      </c>
      <c r="H85" s="61">
        <f t="shared" si="7"/>
        <v>894</v>
      </c>
      <c r="I85" s="62">
        <f t="shared" si="6"/>
        <v>3.0050420168067228E-2</v>
      </c>
      <c r="K85" s="61">
        <v>24515.200000000001</v>
      </c>
      <c r="L85" s="61">
        <f t="shared" si="8"/>
        <v>-5234.7999999999993</v>
      </c>
      <c r="M85" s="62">
        <f t="shared" si="9"/>
        <v>-0.17595966386554621</v>
      </c>
      <c r="O85" s="61">
        <v>22983</v>
      </c>
      <c r="P85" s="61">
        <f t="shared" si="10"/>
        <v>-6767</v>
      </c>
      <c r="Q85" s="62">
        <f t="shared" si="11"/>
        <v>-0.22746218487394959</v>
      </c>
      <c r="S85" s="60">
        <v>5355</v>
      </c>
      <c r="T85" s="50">
        <v>6069</v>
      </c>
    </row>
    <row r="86" spans="1:20">
      <c r="A86" s="67">
        <v>49</v>
      </c>
      <c r="B86" s="74" t="s">
        <v>68</v>
      </c>
      <c r="C86" s="60">
        <v>19516</v>
      </c>
      <c r="D86" s="125" t="s">
        <v>365</v>
      </c>
      <c r="G86" s="61">
        <v>16799</v>
      </c>
      <c r="H86" s="61">
        <f t="shared" si="7"/>
        <v>-2717</v>
      </c>
      <c r="I86" s="62">
        <f t="shared" si="6"/>
        <v>-0.13921910227505638</v>
      </c>
      <c r="K86" s="61">
        <v>13439.2</v>
      </c>
      <c r="L86" s="61">
        <f t="shared" si="8"/>
        <v>-6076.7999999999993</v>
      </c>
      <c r="M86" s="62">
        <f t="shared" si="9"/>
        <v>-0.31137528182004504</v>
      </c>
      <c r="O86" s="61">
        <v>12599.25</v>
      </c>
      <c r="P86" s="61">
        <f t="shared" si="10"/>
        <v>-6916.75</v>
      </c>
      <c r="Q86" s="62">
        <f t="shared" si="11"/>
        <v>-0.35441432670629225</v>
      </c>
      <c r="S86" s="60">
        <v>12852</v>
      </c>
      <c r="T86" s="50">
        <v>13289</v>
      </c>
    </row>
    <row r="87" spans="1:20">
      <c r="A87" s="67">
        <v>50</v>
      </c>
      <c r="B87" s="74" t="s">
        <v>69</v>
      </c>
      <c r="C87" s="60">
        <v>7557</v>
      </c>
      <c r="D87" s="125" t="s">
        <v>365</v>
      </c>
      <c r="G87" s="61">
        <v>6924</v>
      </c>
      <c r="H87" s="61">
        <f t="shared" si="7"/>
        <v>-633</v>
      </c>
      <c r="I87" s="62">
        <f t="shared" si="6"/>
        <v>-8.3763398173878525E-2</v>
      </c>
      <c r="K87" s="61">
        <v>5539.2</v>
      </c>
      <c r="L87" s="61">
        <f t="shared" si="8"/>
        <v>-2017.8000000000002</v>
      </c>
      <c r="M87" s="62">
        <f t="shared" si="9"/>
        <v>-0.26701071853910285</v>
      </c>
      <c r="O87" s="61">
        <v>5193</v>
      </c>
      <c r="P87" s="61">
        <f t="shared" si="10"/>
        <v>-2364</v>
      </c>
      <c r="Q87" s="62">
        <f t="shared" si="11"/>
        <v>-0.31282254863040887</v>
      </c>
      <c r="S87" s="60">
        <v>6664</v>
      </c>
      <c r="T87" s="50">
        <v>7378</v>
      </c>
    </row>
    <row r="88" spans="1:20">
      <c r="A88" s="67">
        <v>51</v>
      </c>
      <c r="B88" s="74" t="s">
        <v>70</v>
      </c>
      <c r="C88" s="60">
        <v>14875</v>
      </c>
      <c r="D88" s="125" t="s">
        <v>365</v>
      </c>
      <c r="G88" s="61">
        <v>5670</v>
      </c>
      <c r="H88" s="61">
        <f t="shared" si="7"/>
        <v>-9205</v>
      </c>
      <c r="I88" s="62">
        <f t="shared" si="6"/>
        <v>-0.61882352941176466</v>
      </c>
      <c r="K88" s="61">
        <v>4536</v>
      </c>
      <c r="L88" s="61">
        <f t="shared" si="8"/>
        <v>-10339</v>
      </c>
      <c r="M88" s="62">
        <f t="shared" si="9"/>
        <v>-0.69505882352941173</v>
      </c>
      <c r="O88" s="61">
        <v>4252.5</v>
      </c>
      <c r="P88" s="61">
        <f t="shared" si="10"/>
        <v>-10622.5</v>
      </c>
      <c r="Q88" s="62">
        <f t="shared" si="11"/>
        <v>-0.71411764705882352</v>
      </c>
      <c r="S88" s="60">
        <v>6712</v>
      </c>
      <c r="T88" s="50">
        <v>9533</v>
      </c>
    </row>
    <row r="89" spans="1:20">
      <c r="A89" s="67">
        <v>52</v>
      </c>
      <c r="B89" s="74" t="s">
        <v>71</v>
      </c>
      <c r="C89" s="60">
        <v>7952</v>
      </c>
      <c r="D89" s="125" t="s">
        <v>365</v>
      </c>
      <c r="G89" s="61">
        <v>6369</v>
      </c>
      <c r="H89" s="61">
        <f t="shared" si="7"/>
        <v>-1583</v>
      </c>
      <c r="I89" s="62">
        <f t="shared" si="6"/>
        <v>-0.19906941649899396</v>
      </c>
      <c r="K89" s="61">
        <v>5095.2</v>
      </c>
      <c r="L89" s="61">
        <f t="shared" si="8"/>
        <v>-2856.8</v>
      </c>
      <c r="M89" s="62">
        <f t="shared" si="9"/>
        <v>-0.35925553319919518</v>
      </c>
      <c r="O89" s="61">
        <v>4776.75</v>
      </c>
      <c r="P89" s="61">
        <f t="shared" si="10"/>
        <v>-3175.25</v>
      </c>
      <c r="Q89" s="62">
        <f t="shared" si="11"/>
        <v>-0.39930206237424548</v>
      </c>
      <c r="S89" s="60">
        <v>18564</v>
      </c>
      <c r="T89" s="50">
        <v>24257</v>
      </c>
    </row>
    <row r="90" spans="1:20">
      <c r="A90" s="67">
        <v>53</v>
      </c>
      <c r="B90" s="74" t="s">
        <v>72</v>
      </c>
      <c r="C90" s="60">
        <v>51170</v>
      </c>
      <c r="D90" s="125" t="s">
        <v>365</v>
      </c>
      <c r="G90" s="61">
        <v>9631</v>
      </c>
      <c r="H90" s="61">
        <f t="shared" si="7"/>
        <v>-41539</v>
      </c>
      <c r="I90" s="62">
        <f t="shared" si="6"/>
        <v>-0.81178424858315423</v>
      </c>
      <c r="K90" s="61">
        <v>7704.8</v>
      </c>
      <c r="L90" s="61">
        <f t="shared" si="8"/>
        <v>-43465.2</v>
      </c>
      <c r="M90" s="62">
        <f t="shared" si="9"/>
        <v>-0.8494273988665233</v>
      </c>
      <c r="O90" s="61">
        <v>7223.25</v>
      </c>
      <c r="P90" s="61">
        <f t="shared" si="10"/>
        <v>-43946.75</v>
      </c>
      <c r="Q90" s="62">
        <f t="shared" si="11"/>
        <v>-0.85883818643736565</v>
      </c>
      <c r="S90" s="60">
        <v>6400</v>
      </c>
      <c r="T90" s="50">
        <v>5799</v>
      </c>
    </row>
    <row r="91" spans="1:20">
      <c r="A91" s="67">
        <v>54</v>
      </c>
      <c r="B91" s="74" t="s">
        <v>73</v>
      </c>
      <c r="C91" s="60">
        <v>6545</v>
      </c>
      <c r="D91" s="125" t="s">
        <v>365</v>
      </c>
      <c r="G91" s="61">
        <v>5035</v>
      </c>
      <c r="H91" s="61">
        <f t="shared" si="7"/>
        <v>-1510</v>
      </c>
      <c r="I91" s="62">
        <f t="shared" si="6"/>
        <v>-0.23071046600458364</v>
      </c>
      <c r="K91" s="61">
        <v>4028</v>
      </c>
      <c r="L91" s="61">
        <f t="shared" si="8"/>
        <v>-2517</v>
      </c>
      <c r="M91" s="62">
        <f t="shared" si="9"/>
        <v>-0.3845683728036669</v>
      </c>
      <c r="O91" s="61">
        <v>3776.25</v>
      </c>
      <c r="P91" s="61">
        <f t="shared" si="10"/>
        <v>-2768.75</v>
      </c>
      <c r="Q91" s="62">
        <f t="shared" si="11"/>
        <v>-0.42303284950343772</v>
      </c>
      <c r="S91" s="60">
        <v>5403</v>
      </c>
      <c r="T91" s="50">
        <v>6783</v>
      </c>
    </row>
    <row r="92" spans="1:20">
      <c r="A92" s="67">
        <v>55</v>
      </c>
      <c r="B92" s="74" t="s">
        <v>74</v>
      </c>
      <c r="C92" s="60">
        <v>15050</v>
      </c>
      <c r="D92" s="125" t="s">
        <v>365</v>
      </c>
      <c r="G92" s="61">
        <v>14891</v>
      </c>
      <c r="H92" s="61">
        <f t="shared" si="7"/>
        <v>-159</v>
      </c>
      <c r="I92" s="62">
        <f t="shared" si="6"/>
        <v>-1.0564784053156147E-2</v>
      </c>
      <c r="K92" s="61">
        <v>11912.8</v>
      </c>
      <c r="L92" s="61">
        <f t="shared" si="8"/>
        <v>-3137.2000000000007</v>
      </c>
      <c r="M92" s="62">
        <f t="shared" si="9"/>
        <v>-0.20845182724252498</v>
      </c>
      <c r="O92" s="61">
        <v>11168.25</v>
      </c>
      <c r="P92" s="61">
        <f t="shared" si="10"/>
        <v>-3881.75</v>
      </c>
      <c r="Q92" s="62">
        <f t="shared" si="11"/>
        <v>-0.25792358803986709</v>
      </c>
      <c r="S92" s="60">
        <v>6271</v>
      </c>
      <c r="T92" s="50">
        <v>6192</v>
      </c>
    </row>
    <row r="93" spans="1:20">
      <c r="A93" s="67">
        <v>56</v>
      </c>
      <c r="B93" s="74" t="s">
        <v>75</v>
      </c>
      <c r="C93" s="60">
        <v>6426</v>
      </c>
      <c r="D93" s="125" t="s">
        <v>365</v>
      </c>
      <c r="G93" s="61">
        <v>6872</v>
      </c>
      <c r="H93" s="61">
        <f t="shared" si="7"/>
        <v>446</v>
      </c>
      <c r="I93" s="62">
        <f t="shared" si="6"/>
        <v>6.9405539993775286E-2</v>
      </c>
      <c r="K93" s="61">
        <v>5497.6</v>
      </c>
      <c r="L93" s="61">
        <f t="shared" si="8"/>
        <v>-928.39999999999964</v>
      </c>
      <c r="M93" s="62">
        <f t="shared" si="9"/>
        <v>-0.14447556800497971</v>
      </c>
      <c r="O93" s="61">
        <v>5154</v>
      </c>
      <c r="P93" s="61">
        <f t="shared" si="10"/>
        <v>-1272</v>
      </c>
      <c r="Q93" s="62">
        <f t="shared" si="11"/>
        <v>-0.19794584500466852</v>
      </c>
      <c r="S93" s="60">
        <v>13082</v>
      </c>
      <c r="T93" s="50">
        <v>17005</v>
      </c>
    </row>
    <row r="94" spans="1:20">
      <c r="A94" s="67">
        <v>57</v>
      </c>
      <c r="B94" s="74" t="s">
        <v>76</v>
      </c>
      <c r="C94" s="60">
        <v>13052</v>
      </c>
      <c r="D94" s="125" t="s">
        <v>365</v>
      </c>
      <c r="G94" s="61">
        <v>6561</v>
      </c>
      <c r="H94" s="61">
        <f t="shared" si="7"/>
        <v>-6491</v>
      </c>
      <c r="I94" s="62">
        <f t="shared" si="6"/>
        <v>-0.49731841863315968</v>
      </c>
      <c r="K94" s="61">
        <v>5248.8</v>
      </c>
      <c r="L94" s="61">
        <f t="shared" si="8"/>
        <v>-7803.2</v>
      </c>
      <c r="M94" s="62">
        <f t="shared" si="9"/>
        <v>-0.59785473490652774</v>
      </c>
      <c r="O94" s="61">
        <v>4920.75</v>
      </c>
      <c r="P94" s="61">
        <f t="shared" si="10"/>
        <v>-8131.25</v>
      </c>
      <c r="Q94" s="62">
        <f t="shared" si="11"/>
        <v>-0.62298881397486972</v>
      </c>
      <c r="S94" s="60">
        <v>12545</v>
      </c>
      <c r="T94" s="50">
        <v>16637</v>
      </c>
    </row>
    <row r="95" spans="1:20">
      <c r="A95" s="67">
        <v>58</v>
      </c>
      <c r="B95" s="74" t="s">
        <v>77</v>
      </c>
      <c r="C95" s="60">
        <v>9532</v>
      </c>
      <c r="D95" s="125" t="s">
        <v>365</v>
      </c>
      <c r="G95" s="61">
        <v>7190</v>
      </c>
      <c r="H95" s="61">
        <f t="shared" si="7"/>
        <v>-2342</v>
      </c>
      <c r="I95" s="62">
        <f t="shared" si="6"/>
        <v>-0.24569869911875786</v>
      </c>
      <c r="K95" s="61">
        <v>5752</v>
      </c>
      <c r="L95" s="61">
        <f t="shared" si="8"/>
        <v>-3780</v>
      </c>
      <c r="M95" s="62">
        <f t="shared" si="9"/>
        <v>-0.39655895929500629</v>
      </c>
      <c r="O95" s="61">
        <v>5392.5</v>
      </c>
      <c r="P95" s="61">
        <f t="shared" si="10"/>
        <v>-4139.5</v>
      </c>
      <c r="Q95" s="62">
        <f t="shared" si="11"/>
        <v>-0.43427402433906842</v>
      </c>
      <c r="S95" s="60">
        <v>2023</v>
      </c>
      <c r="T95" s="50">
        <v>2975</v>
      </c>
    </row>
    <row r="96" spans="1:20">
      <c r="A96" s="67">
        <v>59</v>
      </c>
      <c r="B96" s="74" t="s">
        <v>78</v>
      </c>
      <c r="C96" s="60">
        <v>5799</v>
      </c>
      <c r="D96" s="125" t="s">
        <v>365</v>
      </c>
      <c r="G96" s="61">
        <v>4301</v>
      </c>
      <c r="H96" s="61">
        <f t="shared" si="7"/>
        <v>-1498</v>
      </c>
      <c r="I96" s="62">
        <f t="shared" si="6"/>
        <v>-0.25832040006897738</v>
      </c>
      <c r="K96" s="61">
        <v>3440.8</v>
      </c>
      <c r="L96" s="61">
        <f t="shared" si="8"/>
        <v>-2358.1999999999998</v>
      </c>
      <c r="M96" s="62">
        <f t="shared" si="9"/>
        <v>-0.40665632005518187</v>
      </c>
      <c r="O96" s="61">
        <v>3225.75</v>
      </c>
      <c r="P96" s="61">
        <f t="shared" si="10"/>
        <v>-2573.25</v>
      </c>
      <c r="Q96" s="62">
        <f t="shared" si="11"/>
        <v>-0.44374030005173304</v>
      </c>
      <c r="S96" s="60">
        <v>5950</v>
      </c>
      <c r="T96" s="50">
        <v>9246</v>
      </c>
    </row>
    <row r="97" spans="1:20">
      <c r="A97" s="67">
        <v>60</v>
      </c>
      <c r="B97" s="74" t="s">
        <v>79</v>
      </c>
      <c r="C97" s="60">
        <v>6664</v>
      </c>
      <c r="D97" s="125" t="s">
        <v>365</v>
      </c>
      <c r="G97" s="61">
        <v>5512</v>
      </c>
      <c r="H97" s="61">
        <f t="shared" si="7"/>
        <v>-1152</v>
      </c>
      <c r="I97" s="62">
        <f t="shared" si="6"/>
        <v>-0.17286914765906364</v>
      </c>
      <c r="K97" s="61">
        <v>4409.6000000000004</v>
      </c>
      <c r="L97" s="61">
        <f t="shared" si="8"/>
        <v>-2254.3999999999996</v>
      </c>
      <c r="M97" s="62">
        <f t="shared" si="9"/>
        <v>-0.33829531812725083</v>
      </c>
      <c r="O97" s="61">
        <v>4134</v>
      </c>
      <c r="P97" s="61">
        <f t="shared" si="10"/>
        <v>-2530</v>
      </c>
      <c r="Q97" s="62">
        <f t="shared" si="11"/>
        <v>-0.37965186074429774</v>
      </c>
      <c r="S97" s="60">
        <v>2380</v>
      </c>
      <c r="T97" s="50">
        <v>3392</v>
      </c>
    </row>
    <row r="98" spans="1:20">
      <c r="A98" s="67">
        <v>61</v>
      </c>
      <c r="B98" s="74" t="s">
        <v>80</v>
      </c>
      <c r="C98" s="60">
        <v>7026</v>
      </c>
      <c r="D98" s="125" t="s">
        <v>365</v>
      </c>
      <c r="G98" s="61">
        <v>7353</v>
      </c>
      <c r="H98" s="61">
        <f t="shared" si="7"/>
        <v>327</v>
      </c>
      <c r="I98" s="62">
        <f t="shared" si="6"/>
        <v>4.654141759180188E-2</v>
      </c>
      <c r="K98" s="61">
        <v>5882.4</v>
      </c>
      <c r="L98" s="61">
        <f t="shared" si="8"/>
        <v>-1143.6000000000004</v>
      </c>
      <c r="M98" s="62">
        <f t="shared" si="9"/>
        <v>-0.16276686592655853</v>
      </c>
      <c r="O98" s="61">
        <v>5514.75</v>
      </c>
      <c r="P98" s="61">
        <f t="shared" si="10"/>
        <v>-1511.25</v>
      </c>
      <c r="Q98" s="62">
        <f t="shared" si="11"/>
        <v>-0.21509393680614858</v>
      </c>
      <c r="S98" s="60">
        <v>4760</v>
      </c>
      <c r="T98" s="50">
        <v>4697</v>
      </c>
    </row>
    <row r="99" spans="1:20">
      <c r="A99" s="67">
        <v>62</v>
      </c>
      <c r="B99" s="74" t="s">
        <v>81</v>
      </c>
      <c r="C99" s="60">
        <v>11964</v>
      </c>
      <c r="D99" s="125" t="s">
        <v>365</v>
      </c>
      <c r="G99" s="61">
        <v>9276</v>
      </c>
      <c r="H99" s="61">
        <f t="shared" si="7"/>
        <v>-2688</v>
      </c>
      <c r="I99" s="62">
        <f t="shared" si="6"/>
        <v>-0.2246740220661986</v>
      </c>
      <c r="K99" s="61">
        <v>7420.8</v>
      </c>
      <c r="L99" s="61">
        <f t="shared" si="8"/>
        <v>-4543.2</v>
      </c>
      <c r="M99" s="62">
        <f t="shared" si="9"/>
        <v>-0.37973921765295887</v>
      </c>
      <c r="O99" s="61">
        <v>6957</v>
      </c>
      <c r="P99" s="61">
        <f t="shared" si="10"/>
        <v>-5007</v>
      </c>
      <c r="Q99" s="62">
        <f t="shared" si="11"/>
        <v>-0.41850551654964896</v>
      </c>
      <c r="S99" s="60">
        <v>9520</v>
      </c>
      <c r="T99" s="50">
        <v>10472</v>
      </c>
    </row>
    <row r="100" spans="1:20">
      <c r="A100" s="67">
        <v>63</v>
      </c>
      <c r="B100" s="74" t="s">
        <v>82</v>
      </c>
      <c r="C100" s="60">
        <v>9010</v>
      </c>
      <c r="D100" s="125" t="s">
        <v>365</v>
      </c>
      <c r="G100" s="61">
        <v>10579</v>
      </c>
      <c r="H100" s="61">
        <f t="shared" si="7"/>
        <v>1569</v>
      </c>
      <c r="I100" s="62">
        <f t="shared" si="6"/>
        <v>0.17413984461709212</v>
      </c>
      <c r="K100" s="61">
        <v>8463.2000000000007</v>
      </c>
      <c r="L100" s="61">
        <f t="shared" si="8"/>
        <v>-546.79999999999927</v>
      </c>
      <c r="M100" s="62">
        <f t="shared" si="9"/>
        <v>-6.0688124306326224E-2</v>
      </c>
      <c r="O100" s="61">
        <v>7934.25</v>
      </c>
      <c r="P100" s="61">
        <f t="shared" si="10"/>
        <v>-1075.75</v>
      </c>
      <c r="Q100" s="62">
        <f t="shared" si="11"/>
        <v>-0.11939511653718091</v>
      </c>
      <c r="S100" s="60">
        <v>2678</v>
      </c>
      <c r="T100" s="50">
        <v>4284</v>
      </c>
    </row>
    <row r="101" spans="1:20">
      <c r="A101" s="67">
        <v>64</v>
      </c>
      <c r="B101" s="74" t="s">
        <v>83</v>
      </c>
      <c r="C101" s="60">
        <v>2719</v>
      </c>
      <c r="D101" s="125" t="s">
        <v>365</v>
      </c>
      <c r="G101" s="61">
        <v>1145</v>
      </c>
      <c r="H101" s="61">
        <f t="shared" si="7"/>
        <v>-1574</v>
      </c>
      <c r="I101" s="62">
        <f t="shared" si="6"/>
        <v>-0.57888929753585883</v>
      </c>
      <c r="K101" s="61">
        <v>916</v>
      </c>
      <c r="L101" s="61">
        <f t="shared" si="8"/>
        <v>-1803</v>
      </c>
      <c r="M101" s="62">
        <f t="shared" si="9"/>
        <v>-0.66311143802868699</v>
      </c>
      <c r="O101" s="61">
        <v>858.75</v>
      </c>
      <c r="P101" s="61">
        <f t="shared" si="10"/>
        <v>-1860.25</v>
      </c>
      <c r="Q101" s="62">
        <f t="shared" si="11"/>
        <v>-0.68416697315189412</v>
      </c>
      <c r="S101" s="60">
        <v>2678</v>
      </c>
      <c r="T101" s="50">
        <v>4403</v>
      </c>
    </row>
    <row r="102" spans="1:20">
      <c r="A102" s="67">
        <v>65</v>
      </c>
      <c r="B102" s="74" t="s">
        <v>84</v>
      </c>
      <c r="C102" s="60">
        <v>9008</v>
      </c>
      <c r="D102" s="125" t="s">
        <v>365</v>
      </c>
      <c r="G102" s="61">
        <v>1414</v>
      </c>
      <c r="H102" s="61">
        <f t="shared" si="7"/>
        <v>-7594</v>
      </c>
      <c r="I102" s="62">
        <f t="shared" ref="I102:I165" si="12">H102/C102</f>
        <v>-0.84302841918294846</v>
      </c>
      <c r="K102" s="61">
        <v>1131.2</v>
      </c>
      <c r="L102" s="61">
        <f t="shared" si="8"/>
        <v>-7876.8</v>
      </c>
      <c r="M102" s="62">
        <f t="shared" si="9"/>
        <v>-0.87442273534635884</v>
      </c>
      <c r="O102" s="61">
        <v>1060.5</v>
      </c>
      <c r="P102" s="61">
        <f t="shared" si="10"/>
        <v>-7947.5</v>
      </c>
      <c r="Q102" s="62">
        <f t="shared" si="11"/>
        <v>-0.8822713143872114</v>
      </c>
      <c r="S102" s="60">
        <v>7021</v>
      </c>
      <c r="T102" s="50">
        <v>9246</v>
      </c>
    </row>
    <row r="103" spans="1:20">
      <c r="A103" s="67">
        <v>66</v>
      </c>
      <c r="B103" s="74" t="s">
        <v>85</v>
      </c>
      <c r="C103" s="60">
        <v>2618</v>
      </c>
      <c r="D103" s="125" t="s">
        <v>365</v>
      </c>
      <c r="G103" s="61">
        <v>1414</v>
      </c>
      <c r="H103" s="61">
        <f t="shared" ref="H103:H166" si="13">+G103-C103</f>
        <v>-1204</v>
      </c>
      <c r="I103" s="62">
        <f t="shared" si="12"/>
        <v>-0.45989304812834225</v>
      </c>
      <c r="K103" s="61">
        <v>1131.2</v>
      </c>
      <c r="L103" s="61">
        <f t="shared" ref="L103:L166" si="14">+K103-C103</f>
        <v>-1486.8</v>
      </c>
      <c r="M103" s="62">
        <f t="shared" ref="M103:M166" si="15">L103/C103</f>
        <v>-0.56791443850267376</v>
      </c>
      <c r="O103" s="61">
        <v>1060.5</v>
      </c>
      <c r="P103" s="61">
        <f t="shared" ref="P103:P166" si="16">+O103-C103</f>
        <v>-1557.5</v>
      </c>
      <c r="Q103" s="62">
        <f t="shared" ref="Q103:Q166" si="17">+P103/C103</f>
        <v>-0.59491978609625673</v>
      </c>
      <c r="S103" s="60">
        <v>1269</v>
      </c>
      <c r="T103" s="50">
        <v>1908</v>
      </c>
    </row>
    <row r="104" spans="1:20">
      <c r="A104" s="67">
        <v>67</v>
      </c>
      <c r="B104" s="74" t="s">
        <v>86</v>
      </c>
      <c r="C104" s="60">
        <v>8687</v>
      </c>
      <c r="D104" s="125" t="s">
        <v>365</v>
      </c>
      <c r="G104" s="61">
        <v>1145</v>
      </c>
      <c r="H104" s="61">
        <f t="shared" si="13"/>
        <v>-7542</v>
      </c>
      <c r="I104" s="62">
        <f t="shared" si="12"/>
        <v>-0.86819385288361917</v>
      </c>
      <c r="K104" s="61">
        <v>916</v>
      </c>
      <c r="L104" s="61">
        <f t="shared" si="14"/>
        <v>-7771</v>
      </c>
      <c r="M104" s="62">
        <f t="shared" si="15"/>
        <v>-0.8945550823068954</v>
      </c>
      <c r="O104" s="61">
        <v>858.75</v>
      </c>
      <c r="P104" s="61">
        <f t="shared" si="16"/>
        <v>-7828.25</v>
      </c>
      <c r="Q104" s="62">
        <f t="shared" si="17"/>
        <v>-0.9011453896627144</v>
      </c>
      <c r="S104" s="60">
        <v>2120</v>
      </c>
      <c r="T104" s="50">
        <v>2225</v>
      </c>
    </row>
    <row r="105" spans="1:20">
      <c r="A105" s="67">
        <v>68</v>
      </c>
      <c r="B105" s="74" t="s">
        <v>87</v>
      </c>
      <c r="C105" s="60">
        <v>9401</v>
      </c>
      <c r="D105" s="125" t="s">
        <v>365</v>
      </c>
      <c r="G105" s="61">
        <v>1145</v>
      </c>
      <c r="H105" s="61">
        <f t="shared" si="13"/>
        <v>-8256</v>
      </c>
      <c r="I105" s="62">
        <f t="shared" si="12"/>
        <v>-0.87820444633549621</v>
      </c>
      <c r="K105" s="61">
        <v>916</v>
      </c>
      <c r="L105" s="61">
        <f t="shared" si="14"/>
        <v>-8485</v>
      </c>
      <c r="M105" s="62">
        <f t="shared" si="15"/>
        <v>-0.90256355706839697</v>
      </c>
      <c r="O105" s="61">
        <v>858.75</v>
      </c>
      <c r="P105" s="61">
        <f t="shared" si="16"/>
        <v>-8542.25</v>
      </c>
      <c r="Q105" s="62">
        <f t="shared" si="17"/>
        <v>-0.90865333475162213</v>
      </c>
      <c r="S105" s="60">
        <v>7973</v>
      </c>
      <c r="T105" s="50">
        <v>8770</v>
      </c>
    </row>
    <row r="106" spans="1:20">
      <c r="A106" s="67">
        <v>69</v>
      </c>
      <c r="B106" s="74" t="s">
        <v>88</v>
      </c>
      <c r="C106" s="60">
        <v>3808</v>
      </c>
      <c r="D106" s="125" t="s">
        <v>365</v>
      </c>
      <c r="G106" s="61">
        <v>1414</v>
      </c>
      <c r="H106" s="61">
        <f t="shared" si="13"/>
        <v>-2394</v>
      </c>
      <c r="I106" s="62">
        <f t="shared" si="12"/>
        <v>-0.62867647058823528</v>
      </c>
      <c r="K106" s="61">
        <v>1131.2</v>
      </c>
      <c r="L106" s="61">
        <f t="shared" si="14"/>
        <v>-2676.8</v>
      </c>
      <c r="M106" s="62">
        <f t="shared" si="15"/>
        <v>-0.70294117647058829</v>
      </c>
      <c r="O106" s="61">
        <v>1060.5</v>
      </c>
      <c r="P106" s="61">
        <f t="shared" si="16"/>
        <v>-2747.5</v>
      </c>
      <c r="Q106" s="62">
        <f t="shared" si="17"/>
        <v>-0.72150735294117652</v>
      </c>
      <c r="S106" s="60">
        <v>516</v>
      </c>
      <c r="T106" s="50">
        <v>651</v>
      </c>
    </row>
    <row r="107" spans="1:20">
      <c r="A107" s="67">
        <v>70</v>
      </c>
      <c r="B107" s="74" t="s">
        <v>89</v>
      </c>
      <c r="C107" s="60">
        <v>3808</v>
      </c>
      <c r="D107" s="125" t="s">
        <v>365</v>
      </c>
      <c r="G107" s="61">
        <v>1414</v>
      </c>
      <c r="H107" s="61">
        <f t="shared" si="13"/>
        <v>-2394</v>
      </c>
      <c r="I107" s="62">
        <f t="shared" si="12"/>
        <v>-0.62867647058823528</v>
      </c>
      <c r="K107" s="61">
        <v>1131.2</v>
      </c>
      <c r="L107" s="61">
        <f t="shared" si="14"/>
        <v>-2676.8</v>
      </c>
      <c r="M107" s="62">
        <f t="shared" si="15"/>
        <v>-0.70294117647058829</v>
      </c>
      <c r="O107" s="61">
        <v>1060.5</v>
      </c>
      <c r="P107" s="61">
        <f t="shared" si="16"/>
        <v>-2747.5</v>
      </c>
      <c r="Q107" s="62">
        <f t="shared" si="17"/>
        <v>-0.72150735294117652</v>
      </c>
      <c r="S107" s="60">
        <v>509</v>
      </c>
      <c r="T107" s="50">
        <v>624</v>
      </c>
    </row>
    <row r="108" spans="1:20" ht="14.25" customHeight="1">
      <c r="A108" s="67">
        <v>71</v>
      </c>
      <c r="B108" s="74" t="s">
        <v>90</v>
      </c>
      <c r="C108" s="60">
        <v>9008</v>
      </c>
      <c r="D108" s="125" t="s">
        <v>365</v>
      </c>
      <c r="G108" s="61">
        <v>3394</v>
      </c>
      <c r="H108" s="61">
        <f t="shared" si="13"/>
        <v>-5614</v>
      </c>
      <c r="I108" s="62">
        <f t="shared" si="12"/>
        <v>-0.6232238010657194</v>
      </c>
      <c r="K108" s="61">
        <v>2715.2</v>
      </c>
      <c r="L108" s="61">
        <f t="shared" si="14"/>
        <v>-6292.8</v>
      </c>
      <c r="M108" s="62">
        <f t="shared" si="15"/>
        <v>-0.69857904085257549</v>
      </c>
      <c r="O108" s="61">
        <v>2545.5</v>
      </c>
      <c r="P108" s="61">
        <f t="shared" si="16"/>
        <v>-6462.5</v>
      </c>
      <c r="Q108" s="62">
        <f t="shared" si="17"/>
        <v>-0.71741785079928955</v>
      </c>
      <c r="S108" s="60">
        <v>208</v>
      </c>
      <c r="T108" s="50">
        <v>296</v>
      </c>
    </row>
    <row r="109" spans="1:20">
      <c r="A109" s="67">
        <v>72</v>
      </c>
      <c r="B109" s="74" t="s">
        <v>91</v>
      </c>
      <c r="C109" s="60">
        <v>3534</v>
      </c>
      <c r="D109" s="125" t="s">
        <v>365</v>
      </c>
      <c r="G109" s="61">
        <v>1321</v>
      </c>
      <c r="H109" s="61">
        <f t="shared" si="13"/>
        <v>-2213</v>
      </c>
      <c r="I109" s="62">
        <f t="shared" si="12"/>
        <v>-0.62620260328239952</v>
      </c>
      <c r="K109" s="61">
        <v>1056.8</v>
      </c>
      <c r="L109" s="61">
        <f t="shared" si="14"/>
        <v>-2477.1999999999998</v>
      </c>
      <c r="M109" s="62">
        <f t="shared" si="15"/>
        <v>-0.70096208262591964</v>
      </c>
      <c r="O109" s="61">
        <v>990.75</v>
      </c>
      <c r="P109" s="61">
        <f t="shared" si="16"/>
        <v>-2543.25</v>
      </c>
      <c r="Q109" s="62">
        <f t="shared" si="17"/>
        <v>-0.71965195246179969</v>
      </c>
      <c r="S109" s="60">
        <v>117</v>
      </c>
      <c r="T109" s="50">
        <v>176</v>
      </c>
    </row>
    <row r="110" spans="1:20">
      <c r="A110" s="67">
        <v>73</v>
      </c>
      <c r="B110" s="74" t="s">
        <v>92</v>
      </c>
      <c r="C110" s="60">
        <v>11640</v>
      </c>
      <c r="D110" s="125" t="s">
        <v>365</v>
      </c>
      <c r="G110" s="61">
        <v>1132</v>
      </c>
      <c r="H110" s="61">
        <f t="shared" si="13"/>
        <v>-10508</v>
      </c>
      <c r="I110" s="62">
        <f t="shared" si="12"/>
        <v>-0.9027491408934708</v>
      </c>
      <c r="K110" s="61">
        <v>905.6</v>
      </c>
      <c r="L110" s="61">
        <f t="shared" si="14"/>
        <v>-10734.4</v>
      </c>
      <c r="M110" s="62">
        <f t="shared" si="15"/>
        <v>-0.92219931271477662</v>
      </c>
      <c r="O110" s="61">
        <v>849</v>
      </c>
      <c r="P110" s="61">
        <f t="shared" si="16"/>
        <v>-10791</v>
      </c>
      <c r="Q110" s="62">
        <f t="shared" si="17"/>
        <v>-0.92706185567010313</v>
      </c>
      <c r="S110" s="60">
        <v>402</v>
      </c>
      <c r="T110" s="50">
        <v>4403</v>
      </c>
    </row>
    <row r="111" spans="1:20">
      <c r="A111" s="67">
        <v>74</v>
      </c>
      <c r="B111" s="74" t="s">
        <v>93</v>
      </c>
      <c r="C111" s="60">
        <v>3094</v>
      </c>
      <c r="D111" s="125" t="s">
        <v>365</v>
      </c>
      <c r="G111" s="61">
        <v>848</v>
      </c>
      <c r="H111" s="61">
        <f t="shared" si="13"/>
        <v>-2246</v>
      </c>
      <c r="I111" s="62">
        <f t="shared" si="12"/>
        <v>-0.72592113768584354</v>
      </c>
      <c r="K111" s="61">
        <v>678.4</v>
      </c>
      <c r="L111" s="61">
        <f t="shared" si="14"/>
        <v>-2415.6</v>
      </c>
      <c r="M111" s="62">
        <f t="shared" si="15"/>
        <v>-0.78073691014867486</v>
      </c>
      <c r="O111" s="61">
        <v>636</v>
      </c>
      <c r="P111" s="61">
        <f t="shared" si="16"/>
        <v>-2458</v>
      </c>
      <c r="Q111" s="62">
        <f t="shared" si="17"/>
        <v>-0.79444085326438263</v>
      </c>
      <c r="S111" s="60">
        <v>1518</v>
      </c>
      <c r="T111" s="50">
        <v>2132</v>
      </c>
    </row>
    <row r="112" spans="1:20">
      <c r="A112" s="67">
        <v>75</v>
      </c>
      <c r="B112" s="74" t="s">
        <v>94</v>
      </c>
      <c r="C112" s="60">
        <v>687</v>
      </c>
      <c r="D112" s="125" t="s">
        <v>365</v>
      </c>
      <c r="G112" s="61">
        <v>594</v>
      </c>
      <c r="H112" s="61">
        <f t="shared" si="13"/>
        <v>-93</v>
      </c>
      <c r="I112" s="62">
        <f t="shared" si="12"/>
        <v>-0.13537117903930132</v>
      </c>
      <c r="K112" s="61">
        <v>475.2</v>
      </c>
      <c r="L112" s="61">
        <f t="shared" si="14"/>
        <v>-211.8</v>
      </c>
      <c r="M112" s="62">
        <f t="shared" si="15"/>
        <v>-0.30829694323144108</v>
      </c>
      <c r="O112" s="61">
        <v>445.5</v>
      </c>
      <c r="P112" s="61">
        <f t="shared" si="16"/>
        <v>-241.5</v>
      </c>
      <c r="Q112" s="62">
        <f t="shared" si="17"/>
        <v>-0.35152838427947597</v>
      </c>
      <c r="S112" s="60">
        <v>1583</v>
      </c>
      <c r="T112" s="50">
        <v>2132</v>
      </c>
    </row>
    <row r="113" spans="1:20">
      <c r="A113" s="67">
        <v>76</v>
      </c>
      <c r="B113" s="74" t="s">
        <v>95</v>
      </c>
      <c r="C113" s="60">
        <v>656</v>
      </c>
      <c r="D113" s="125" t="s">
        <v>365</v>
      </c>
      <c r="G113" s="61">
        <v>249</v>
      </c>
      <c r="H113" s="61">
        <f t="shared" si="13"/>
        <v>-407</v>
      </c>
      <c r="I113" s="62">
        <f t="shared" si="12"/>
        <v>-0.62042682926829273</v>
      </c>
      <c r="K113" s="61">
        <v>199.2</v>
      </c>
      <c r="L113" s="61">
        <f t="shared" si="14"/>
        <v>-456.8</v>
      </c>
      <c r="M113" s="62">
        <f t="shared" si="15"/>
        <v>-0.69634146341463421</v>
      </c>
      <c r="O113" s="61">
        <v>186.75</v>
      </c>
      <c r="P113" s="61">
        <f t="shared" si="16"/>
        <v>-469.25</v>
      </c>
      <c r="Q113" s="62">
        <f t="shared" si="17"/>
        <v>-0.71532012195121952</v>
      </c>
      <c r="S113" s="60">
        <v>2370</v>
      </c>
      <c r="T113" s="50">
        <v>2631</v>
      </c>
    </row>
    <row r="114" spans="1:20">
      <c r="A114" s="67">
        <v>77</v>
      </c>
      <c r="B114" s="74" t="s">
        <v>96</v>
      </c>
      <c r="C114" s="60">
        <v>298</v>
      </c>
      <c r="D114" s="125" t="s">
        <v>365</v>
      </c>
      <c r="G114" s="61">
        <v>249</v>
      </c>
      <c r="H114" s="61">
        <f t="shared" si="13"/>
        <v>-49</v>
      </c>
      <c r="I114" s="62">
        <f t="shared" si="12"/>
        <v>-0.16442953020134229</v>
      </c>
      <c r="K114" s="61">
        <v>199.2</v>
      </c>
      <c r="L114" s="61">
        <f t="shared" si="14"/>
        <v>-98.800000000000011</v>
      </c>
      <c r="M114" s="62">
        <f t="shared" si="15"/>
        <v>-0.33154362416107386</v>
      </c>
      <c r="O114" s="61">
        <v>186.75</v>
      </c>
      <c r="P114" s="61">
        <f t="shared" si="16"/>
        <v>-111.25</v>
      </c>
      <c r="Q114" s="62">
        <f t="shared" si="17"/>
        <v>-0.37332214765100669</v>
      </c>
      <c r="S114" s="60">
        <v>1726</v>
      </c>
      <c r="T114" s="50">
        <v>2581</v>
      </c>
    </row>
    <row r="115" spans="1:20">
      <c r="A115" s="67">
        <v>78</v>
      </c>
      <c r="B115" s="74" t="s">
        <v>97</v>
      </c>
      <c r="C115" s="60">
        <v>203</v>
      </c>
      <c r="D115" s="125" t="s">
        <v>365</v>
      </c>
      <c r="G115" s="61">
        <v>209</v>
      </c>
      <c r="H115" s="61">
        <f t="shared" si="13"/>
        <v>6</v>
      </c>
      <c r="I115" s="62">
        <f t="shared" si="12"/>
        <v>2.9556650246305417E-2</v>
      </c>
      <c r="K115" s="61">
        <v>167.2</v>
      </c>
      <c r="L115" s="61">
        <f t="shared" si="14"/>
        <v>-35.800000000000011</v>
      </c>
      <c r="M115" s="62">
        <f t="shared" si="15"/>
        <v>-0.17635467980295572</v>
      </c>
      <c r="O115" s="61">
        <v>156.75</v>
      </c>
      <c r="P115" s="61">
        <f t="shared" si="16"/>
        <v>-46.25</v>
      </c>
      <c r="Q115" s="62">
        <f t="shared" si="17"/>
        <v>-0.22783251231527094</v>
      </c>
      <c r="S115" s="60">
        <v>2379</v>
      </c>
      <c r="T115" s="50">
        <v>4344</v>
      </c>
    </row>
    <row r="116" spans="1:20">
      <c r="A116" s="67">
        <v>79</v>
      </c>
      <c r="B116" s="74" t="s">
        <v>98</v>
      </c>
      <c r="C116" s="60">
        <v>618</v>
      </c>
      <c r="D116" s="125" t="s">
        <v>365</v>
      </c>
      <c r="G116" s="61">
        <v>191</v>
      </c>
      <c r="H116" s="61">
        <f t="shared" si="13"/>
        <v>-427</v>
      </c>
      <c r="I116" s="62">
        <f t="shared" si="12"/>
        <v>-0.69093851132686079</v>
      </c>
      <c r="K116" s="61">
        <v>152.80000000000001</v>
      </c>
      <c r="L116" s="61">
        <f t="shared" si="14"/>
        <v>-465.2</v>
      </c>
      <c r="M116" s="62">
        <f t="shared" si="15"/>
        <v>-0.75275080906148861</v>
      </c>
      <c r="O116" s="61">
        <v>143.25</v>
      </c>
      <c r="P116" s="61">
        <f t="shared" si="16"/>
        <v>-474.75</v>
      </c>
      <c r="Q116" s="62">
        <f t="shared" si="17"/>
        <v>-0.76820388349514568</v>
      </c>
      <c r="S116" s="60">
        <v>1428</v>
      </c>
      <c r="T116" s="50">
        <v>2482</v>
      </c>
    </row>
    <row r="117" spans="1:20">
      <c r="A117" s="67">
        <v>80</v>
      </c>
      <c r="B117" s="74" t="s">
        <v>99</v>
      </c>
      <c r="C117" s="60">
        <v>688</v>
      </c>
      <c r="D117" s="125" t="s">
        <v>365</v>
      </c>
      <c r="G117" s="61">
        <v>214</v>
      </c>
      <c r="H117" s="61">
        <f t="shared" si="13"/>
        <v>-474</v>
      </c>
      <c r="I117" s="62">
        <f t="shared" si="12"/>
        <v>-0.68895348837209303</v>
      </c>
      <c r="K117" s="61">
        <v>171.2</v>
      </c>
      <c r="L117" s="61">
        <f t="shared" si="14"/>
        <v>-516.79999999999995</v>
      </c>
      <c r="M117" s="62">
        <f t="shared" si="15"/>
        <v>-0.75116279069767433</v>
      </c>
      <c r="O117" s="61">
        <v>160.5</v>
      </c>
      <c r="P117" s="61">
        <f t="shared" si="16"/>
        <v>-527.5</v>
      </c>
      <c r="Q117" s="62">
        <f t="shared" si="17"/>
        <v>-0.76671511627906974</v>
      </c>
      <c r="S117" s="60">
        <v>1343</v>
      </c>
      <c r="T117" s="50">
        <v>1855</v>
      </c>
    </row>
    <row r="118" spans="1:20">
      <c r="A118" s="67">
        <v>81</v>
      </c>
      <c r="B118" s="74" t="s">
        <v>100</v>
      </c>
      <c r="C118" s="60">
        <v>298</v>
      </c>
      <c r="D118" s="125" t="s">
        <v>365</v>
      </c>
      <c r="G118" s="61">
        <v>214</v>
      </c>
      <c r="H118" s="61">
        <f t="shared" si="13"/>
        <v>-84</v>
      </c>
      <c r="I118" s="62">
        <f t="shared" si="12"/>
        <v>-0.28187919463087246</v>
      </c>
      <c r="K118" s="61">
        <v>171.2</v>
      </c>
      <c r="L118" s="61">
        <f t="shared" si="14"/>
        <v>-126.80000000000001</v>
      </c>
      <c r="M118" s="62">
        <f t="shared" si="15"/>
        <v>-0.42550335570469805</v>
      </c>
      <c r="O118" s="61">
        <v>160.5</v>
      </c>
      <c r="P118" s="61">
        <f t="shared" si="16"/>
        <v>-137.5</v>
      </c>
      <c r="Q118" s="62">
        <f t="shared" si="17"/>
        <v>-0.46140939597315433</v>
      </c>
      <c r="S118" s="60">
        <v>4674</v>
      </c>
      <c r="T118" s="50">
        <v>7827</v>
      </c>
    </row>
    <row r="119" spans="1:20">
      <c r="A119" s="67">
        <v>82</v>
      </c>
      <c r="B119" s="74" t="s">
        <v>101</v>
      </c>
      <c r="C119" s="60">
        <v>2550</v>
      </c>
      <c r="D119" s="125" t="s">
        <v>365</v>
      </c>
      <c r="G119" s="61">
        <v>1995</v>
      </c>
      <c r="H119" s="61">
        <f t="shared" si="13"/>
        <v>-555</v>
      </c>
      <c r="I119" s="62">
        <f t="shared" si="12"/>
        <v>-0.21764705882352942</v>
      </c>
      <c r="K119" s="61">
        <v>1596</v>
      </c>
      <c r="L119" s="61">
        <f t="shared" si="14"/>
        <v>-954</v>
      </c>
      <c r="M119" s="62">
        <f t="shared" si="15"/>
        <v>-0.37411764705882355</v>
      </c>
      <c r="O119" s="61">
        <v>1496.25</v>
      </c>
      <c r="P119" s="61">
        <f t="shared" si="16"/>
        <v>-1053.75</v>
      </c>
      <c r="Q119" s="62">
        <f t="shared" si="17"/>
        <v>-0.41323529411764703</v>
      </c>
      <c r="S119" s="60">
        <v>5798</v>
      </c>
      <c r="T119" s="50">
        <v>6088</v>
      </c>
    </row>
    <row r="120" spans="1:20">
      <c r="A120" s="67">
        <v>83</v>
      </c>
      <c r="B120" s="74" t="s">
        <v>102</v>
      </c>
      <c r="C120" s="60">
        <v>2550</v>
      </c>
      <c r="D120" s="125" t="s">
        <v>365</v>
      </c>
      <c r="G120" s="61">
        <v>1995</v>
      </c>
      <c r="H120" s="61">
        <f t="shared" si="13"/>
        <v>-555</v>
      </c>
      <c r="I120" s="62">
        <f t="shared" si="12"/>
        <v>-0.21764705882352942</v>
      </c>
      <c r="K120" s="61">
        <v>1596</v>
      </c>
      <c r="L120" s="61">
        <f t="shared" si="14"/>
        <v>-954</v>
      </c>
      <c r="M120" s="62">
        <f t="shared" si="15"/>
        <v>-0.37411764705882355</v>
      </c>
      <c r="O120" s="61">
        <v>1496.25</v>
      </c>
      <c r="P120" s="61">
        <f t="shared" si="16"/>
        <v>-1053.75</v>
      </c>
      <c r="Q120" s="62">
        <f t="shared" si="17"/>
        <v>-0.41323529411764703</v>
      </c>
      <c r="S120" s="60">
        <v>3179</v>
      </c>
      <c r="T120" s="50">
        <v>3605</v>
      </c>
    </row>
    <row r="121" spans="1:20">
      <c r="A121" s="67">
        <v>84</v>
      </c>
      <c r="B121" s="74" t="s">
        <v>103</v>
      </c>
      <c r="C121" s="60">
        <v>2763</v>
      </c>
      <c r="D121" s="125" t="s">
        <v>365</v>
      </c>
      <c r="G121" s="61">
        <v>2395</v>
      </c>
      <c r="H121" s="61">
        <f t="shared" si="13"/>
        <v>-368</v>
      </c>
      <c r="I121" s="62">
        <f t="shared" si="12"/>
        <v>-0.13318856315598987</v>
      </c>
      <c r="K121" s="61">
        <v>1916</v>
      </c>
      <c r="L121" s="61">
        <f t="shared" si="14"/>
        <v>-847</v>
      </c>
      <c r="M121" s="62">
        <f t="shared" si="15"/>
        <v>-0.30655085052479192</v>
      </c>
      <c r="O121" s="61">
        <v>1796.25</v>
      </c>
      <c r="P121" s="61">
        <f t="shared" si="16"/>
        <v>-966.75</v>
      </c>
      <c r="Q121" s="62">
        <f t="shared" si="17"/>
        <v>-0.34989142236699239</v>
      </c>
      <c r="S121" s="60">
        <v>3259</v>
      </c>
      <c r="T121" s="50">
        <v>5534</v>
      </c>
    </row>
    <row r="122" spans="1:20">
      <c r="A122" s="67">
        <v>85</v>
      </c>
      <c r="B122" s="74" t="s">
        <v>104</v>
      </c>
      <c r="C122" s="60">
        <v>2788</v>
      </c>
      <c r="D122" s="125" t="s">
        <v>365</v>
      </c>
      <c r="G122" s="61">
        <v>2395</v>
      </c>
      <c r="H122" s="61">
        <f t="shared" si="13"/>
        <v>-393</v>
      </c>
      <c r="I122" s="62">
        <f t="shared" si="12"/>
        <v>-0.14096126255380201</v>
      </c>
      <c r="K122" s="61">
        <v>1916</v>
      </c>
      <c r="L122" s="61">
        <f t="shared" si="14"/>
        <v>-872</v>
      </c>
      <c r="M122" s="62">
        <f t="shared" si="15"/>
        <v>-0.31276901004304158</v>
      </c>
      <c r="O122" s="61">
        <v>1796.25</v>
      </c>
      <c r="P122" s="61">
        <f t="shared" si="16"/>
        <v>-991.75</v>
      </c>
      <c r="Q122" s="62">
        <f t="shared" si="17"/>
        <v>-0.3557209469153515</v>
      </c>
      <c r="S122" s="60">
        <v>3914</v>
      </c>
      <c r="T122" s="50">
        <v>4641</v>
      </c>
    </row>
    <row r="123" spans="1:20">
      <c r="A123" s="67">
        <v>86</v>
      </c>
      <c r="B123" s="74" t="s">
        <v>105</v>
      </c>
      <c r="C123" s="60">
        <v>5548</v>
      </c>
      <c r="D123" s="125" t="s">
        <v>365</v>
      </c>
      <c r="G123" s="61">
        <v>4185</v>
      </c>
      <c r="H123" s="61">
        <f t="shared" si="13"/>
        <v>-1363</v>
      </c>
      <c r="I123" s="62">
        <f t="shared" si="12"/>
        <v>-0.24567411679884643</v>
      </c>
      <c r="K123" s="61">
        <v>3348</v>
      </c>
      <c r="L123" s="61">
        <f t="shared" si="14"/>
        <v>-2200</v>
      </c>
      <c r="M123" s="62">
        <f t="shared" si="15"/>
        <v>-0.39653929343907712</v>
      </c>
      <c r="O123" s="61">
        <v>3138.75</v>
      </c>
      <c r="P123" s="61">
        <f t="shared" si="16"/>
        <v>-2409.25</v>
      </c>
      <c r="Q123" s="62">
        <f t="shared" si="17"/>
        <v>-0.4342555875991348</v>
      </c>
      <c r="S123" s="60">
        <v>2379</v>
      </c>
      <c r="T123" s="50">
        <v>7914</v>
      </c>
    </row>
    <row r="124" spans="1:20">
      <c r="A124" s="67">
        <v>87</v>
      </c>
      <c r="B124" s="74" t="s">
        <v>106</v>
      </c>
      <c r="C124" s="60">
        <v>5279</v>
      </c>
      <c r="D124" s="125" t="s">
        <v>365</v>
      </c>
      <c r="G124" s="61">
        <v>3054</v>
      </c>
      <c r="H124" s="61">
        <f t="shared" si="13"/>
        <v>-2225</v>
      </c>
      <c r="I124" s="62">
        <f t="shared" si="12"/>
        <v>-0.4214813411630991</v>
      </c>
      <c r="K124" s="61">
        <v>2443.1999999999998</v>
      </c>
      <c r="L124" s="61">
        <f t="shared" si="14"/>
        <v>-2835.8</v>
      </c>
      <c r="M124" s="62">
        <f t="shared" si="15"/>
        <v>-0.53718507293047935</v>
      </c>
      <c r="O124" s="61">
        <v>2290.5</v>
      </c>
      <c r="P124" s="61">
        <f t="shared" si="16"/>
        <v>-2988.5</v>
      </c>
      <c r="Q124" s="62">
        <f t="shared" si="17"/>
        <v>-0.56611100587232432</v>
      </c>
      <c r="S124" s="60">
        <v>1428</v>
      </c>
      <c r="T124" s="50">
        <v>2248</v>
      </c>
    </row>
    <row r="125" spans="1:20">
      <c r="A125" s="67">
        <v>88</v>
      </c>
      <c r="B125" s="74" t="s">
        <v>107</v>
      </c>
      <c r="C125" s="60">
        <v>2706</v>
      </c>
      <c r="D125" s="125" t="s">
        <v>365</v>
      </c>
      <c r="G125" s="61">
        <v>1517</v>
      </c>
      <c r="H125" s="61">
        <f t="shared" si="13"/>
        <v>-1189</v>
      </c>
      <c r="I125" s="62">
        <f t="shared" si="12"/>
        <v>-0.43939393939393939</v>
      </c>
      <c r="K125" s="61">
        <v>1213.5999999999999</v>
      </c>
      <c r="L125" s="61">
        <f t="shared" si="14"/>
        <v>-1492.4</v>
      </c>
      <c r="M125" s="62">
        <f t="shared" si="15"/>
        <v>-0.55151515151515151</v>
      </c>
      <c r="O125" s="61">
        <v>1137.75</v>
      </c>
      <c r="P125" s="61">
        <f t="shared" si="16"/>
        <v>-1568.25</v>
      </c>
      <c r="Q125" s="62">
        <f t="shared" si="17"/>
        <v>-0.57954545454545459</v>
      </c>
      <c r="S125" s="60">
        <v>5501</v>
      </c>
      <c r="T125" s="50">
        <v>4115</v>
      </c>
    </row>
    <row r="126" spans="1:20">
      <c r="A126" s="67">
        <v>89</v>
      </c>
      <c r="B126" s="74" t="s">
        <v>108</v>
      </c>
      <c r="C126" s="60">
        <v>1780</v>
      </c>
      <c r="D126" s="125" t="s">
        <v>365</v>
      </c>
      <c r="G126" s="61">
        <v>1403</v>
      </c>
      <c r="H126" s="61">
        <f t="shared" si="13"/>
        <v>-377</v>
      </c>
      <c r="I126" s="62">
        <f t="shared" si="12"/>
        <v>-0.21179775280898877</v>
      </c>
      <c r="K126" s="61">
        <v>1122.4000000000001</v>
      </c>
      <c r="L126" s="61">
        <f t="shared" si="14"/>
        <v>-657.59999999999991</v>
      </c>
      <c r="M126" s="62">
        <f t="shared" si="15"/>
        <v>-0.36943820224719098</v>
      </c>
      <c r="O126" s="61">
        <v>1052.25</v>
      </c>
      <c r="P126" s="61">
        <f t="shared" si="16"/>
        <v>-727.75</v>
      </c>
      <c r="Q126" s="62">
        <f t="shared" si="17"/>
        <v>-0.40884831460674159</v>
      </c>
      <c r="S126" s="60">
        <v>7378</v>
      </c>
      <c r="T126" s="50">
        <v>9163</v>
      </c>
    </row>
    <row r="127" spans="1:20">
      <c r="A127" s="67">
        <v>90</v>
      </c>
      <c r="B127" s="74" t="s">
        <v>109</v>
      </c>
      <c r="C127" s="60">
        <v>10587</v>
      </c>
      <c r="D127" s="125" t="s">
        <v>365</v>
      </c>
      <c r="G127" s="61">
        <v>2727</v>
      </c>
      <c r="H127" s="61">
        <f t="shared" si="13"/>
        <v>-7860</v>
      </c>
      <c r="I127" s="62">
        <f t="shared" si="12"/>
        <v>-0.74241994899404928</v>
      </c>
      <c r="K127" s="61">
        <v>2181.6</v>
      </c>
      <c r="L127" s="61">
        <f t="shared" si="14"/>
        <v>-8405.4</v>
      </c>
      <c r="M127" s="62">
        <f t="shared" si="15"/>
        <v>-0.7939359591952394</v>
      </c>
      <c r="O127" s="61">
        <v>2045.25</v>
      </c>
      <c r="P127" s="61">
        <f t="shared" si="16"/>
        <v>-8541.75</v>
      </c>
      <c r="Q127" s="62">
        <f t="shared" si="17"/>
        <v>-0.80681496174553702</v>
      </c>
      <c r="S127" s="60">
        <v>7378</v>
      </c>
      <c r="T127" s="50">
        <v>9163</v>
      </c>
    </row>
    <row r="128" spans="1:20">
      <c r="A128" s="67">
        <v>91</v>
      </c>
      <c r="B128" s="74" t="s">
        <v>110</v>
      </c>
      <c r="C128" s="60">
        <v>13284</v>
      </c>
      <c r="D128" s="125" t="s">
        <v>365</v>
      </c>
      <c r="G128" s="61">
        <v>3033</v>
      </c>
      <c r="H128" s="61">
        <f t="shared" si="13"/>
        <v>-10251</v>
      </c>
      <c r="I128" s="62">
        <f t="shared" si="12"/>
        <v>-0.77168021680216803</v>
      </c>
      <c r="K128" s="61">
        <v>2426.4</v>
      </c>
      <c r="L128" s="61">
        <f t="shared" si="14"/>
        <v>-10857.6</v>
      </c>
      <c r="M128" s="62">
        <f t="shared" si="15"/>
        <v>-0.81734417344173449</v>
      </c>
      <c r="O128" s="61">
        <v>2274.75</v>
      </c>
      <c r="P128" s="61">
        <f t="shared" si="16"/>
        <v>-11009.25</v>
      </c>
      <c r="Q128" s="62">
        <f t="shared" si="17"/>
        <v>-0.82876016260162599</v>
      </c>
      <c r="S128" s="60">
        <v>12614</v>
      </c>
      <c r="T128" s="50">
        <v>15649</v>
      </c>
    </row>
    <row r="129" spans="1:20">
      <c r="A129" s="67">
        <v>92</v>
      </c>
      <c r="B129" s="74" t="s">
        <v>111</v>
      </c>
      <c r="C129" s="60">
        <v>3929</v>
      </c>
      <c r="D129" s="125" t="s">
        <v>365</v>
      </c>
      <c r="G129" s="61">
        <v>4014</v>
      </c>
      <c r="H129" s="61">
        <f t="shared" si="13"/>
        <v>85</v>
      </c>
      <c r="I129" s="62">
        <f t="shared" si="12"/>
        <v>2.1634003563247645E-2</v>
      </c>
      <c r="K129" s="61">
        <v>3211.2</v>
      </c>
      <c r="L129" s="61">
        <f t="shared" si="14"/>
        <v>-717.80000000000018</v>
      </c>
      <c r="M129" s="62">
        <f t="shared" si="15"/>
        <v>-0.18269279714940193</v>
      </c>
      <c r="O129" s="61">
        <v>3010.5</v>
      </c>
      <c r="P129" s="61">
        <f t="shared" si="16"/>
        <v>-918.5</v>
      </c>
      <c r="Q129" s="62">
        <f t="shared" si="17"/>
        <v>-0.23377449732756428</v>
      </c>
      <c r="S129" s="60">
        <v>12614</v>
      </c>
      <c r="T129" s="50">
        <v>15649</v>
      </c>
    </row>
    <row r="130" spans="1:20">
      <c r="A130" s="67">
        <v>93</v>
      </c>
      <c r="B130" s="74" t="s">
        <v>112</v>
      </c>
      <c r="C130" s="60">
        <v>5567</v>
      </c>
      <c r="D130" s="125" t="s">
        <v>365</v>
      </c>
      <c r="G130" s="61">
        <v>5262</v>
      </c>
      <c r="H130" s="61">
        <f t="shared" si="13"/>
        <v>-305</v>
      </c>
      <c r="I130" s="62">
        <f t="shared" si="12"/>
        <v>-5.4787138494700918E-2</v>
      </c>
      <c r="K130" s="61">
        <v>4209.6000000000004</v>
      </c>
      <c r="L130" s="61">
        <f t="shared" si="14"/>
        <v>-1357.3999999999996</v>
      </c>
      <c r="M130" s="62">
        <f t="shared" si="15"/>
        <v>-0.24382971079576066</v>
      </c>
      <c r="O130" s="61">
        <v>3946.5</v>
      </c>
      <c r="P130" s="61">
        <f t="shared" si="16"/>
        <v>-1620.5</v>
      </c>
      <c r="Q130" s="62">
        <f t="shared" si="17"/>
        <v>-0.29109035387102566</v>
      </c>
      <c r="S130" s="60">
        <v>52994</v>
      </c>
      <c r="T130" s="50">
        <v>77350</v>
      </c>
    </row>
    <row r="131" spans="1:20">
      <c r="A131" s="67">
        <v>94</v>
      </c>
      <c r="B131" s="74" t="s">
        <v>113</v>
      </c>
      <c r="C131" s="60">
        <v>5198</v>
      </c>
      <c r="D131" s="125" t="s">
        <v>365</v>
      </c>
      <c r="G131" s="61">
        <v>5429</v>
      </c>
      <c r="H131" s="61">
        <f t="shared" si="13"/>
        <v>231</v>
      </c>
      <c r="I131" s="62">
        <f t="shared" si="12"/>
        <v>4.4440169295883035E-2</v>
      </c>
      <c r="K131" s="61">
        <v>4343.2</v>
      </c>
      <c r="L131" s="61">
        <f t="shared" si="14"/>
        <v>-854.80000000000018</v>
      </c>
      <c r="M131" s="62">
        <f t="shared" si="15"/>
        <v>-0.16444786456329361</v>
      </c>
      <c r="O131" s="61">
        <v>4071.75</v>
      </c>
      <c r="P131" s="61">
        <f t="shared" si="16"/>
        <v>-1126.25</v>
      </c>
      <c r="Q131" s="62">
        <f t="shared" si="17"/>
        <v>-0.21666987302808774</v>
      </c>
      <c r="S131" s="60">
        <v>63056</v>
      </c>
      <c r="T131" s="50">
        <v>89250</v>
      </c>
    </row>
    <row r="132" spans="1:20">
      <c r="A132" s="67">
        <v>95</v>
      </c>
      <c r="B132" s="74" t="s">
        <v>114</v>
      </c>
      <c r="C132" s="60">
        <v>9296</v>
      </c>
      <c r="D132" s="125" t="s">
        <v>365</v>
      </c>
      <c r="G132" s="61">
        <v>4185</v>
      </c>
      <c r="H132" s="61">
        <f t="shared" si="13"/>
        <v>-5111</v>
      </c>
      <c r="I132" s="62">
        <f t="shared" si="12"/>
        <v>-0.5498063683304647</v>
      </c>
      <c r="K132" s="61">
        <v>3348</v>
      </c>
      <c r="L132" s="61">
        <f t="shared" si="14"/>
        <v>-5948</v>
      </c>
      <c r="M132" s="62">
        <f t="shared" si="15"/>
        <v>-0.63984509466437178</v>
      </c>
      <c r="O132" s="61">
        <v>3138.75</v>
      </c>
      <c r="P132" s="61">
        <f t="shared" si="16"/>
        <v>-6157.25</v>
      </c>
      <c r="Q132" s="62">
        <f t="shared" si="17"/>
        <v>-0.66235477624784855</v>
      </c>
      <c r="S132" s="60">
        <v>415</v>
      </c>
      <c r="T132" s="50">
        <v>476</v>
      </c>
    </row>
    <row r="133" spans="1:20">
      <c r="A133" s="67">
        <v>96</v>
      </c>
      <c r="B133" s="74" t="s">
        <v>115</v>
      </c>
      <c r="C133" s="60">
        <v>5279</v>
      </c>
      <c r="D133" s="125" t="s">
        <v>365</v>
      </c>
      <c r="G133" s="61">
        <v>3054</v>
      </c>
      <c r="H133" s="61">
        <f t="shared" si="13"/>
        <v>-2225</v>
      </c>
      <c r="I133" s="62">
        <f t="shared" si="12"/>
        <v>-0.4214813411630991</v>
      </c>
      <c r="K133" s="61">
        <v>2443.1999999999998</v>
      </c>
      <c r="L133" s="61">
        <f t="shared" si="14"/>
        <v>-2835.8</v>
      </c>
      <c r="M133" s="62">
        <f t="shared" si="15"/>
        <v>-0.53718507293047935</v>
      </c>
      <c r="O133" s="61">
        <v>2290.5</v>
      </c>
      <c r="P133" s="61">
        <f t="shared" si="16"/>
        <v>-2988.5</v>
      </c>
      <c r="Q133" s="62">
        <f t="shared" si="17"/>
        <v>-0.56611100587232432</v>
      </c>
      <c r="S133" s="60">
        <v>492</v>
      </c>
      <c r="T133" s="50">
        <v>476</v>
      </c>
    </row>
    <row r="134" spans="1:20">
      <c r="A134" s="67">
        <v>97</v>
      </c>
      <c r="B134" s="74" t="s">
        <v>116</v>
      </c>
      <c r="C134" s="60">
        <v>2706</v>
      </c>
      <c r="D134" s="125" t="s">
        <v>365</v>
      </c>
      <c r="G134" s="61">
        <v>1517</v>
      </c>
      <c r="H134" s="61">
        <f t="shared" si="13"/>
        <v>-1189</v>
      </c>
      <c r="I134" s="62">
        <f t="shared" si="12"/>
        <v>-0.43939393939393939</v>
      </c>
      <c r="K134" s="61">
        <v>1213.5999999999999</v>
      </c>
      <c r="L134" s="61">
        <f t="shared" si="14"/>
        <v>-1492.4</v>
      </c>
      <c r="M134" s="62">
        <f t="shared" si="15"/>
        <v>-0.55151515151515151</v>
      </c>
      <c r="O134" s="61">
        <v>1137.75</v>
      </c>
      <c r="P134" s="61">
        <f t="shared" si="16"/>
        <v>-1568.25</v>
      </c>
      <c r="Q134" s="62">
        <f t="shared" si="17"/>
        <v>-0.57954545454545459</v>
      </c>
      <c r="S134" s="60">
        <v>492</v>
      </c>
      <c r="T134" s="50">
        <v>476</v>
      </c>
    </row>
    <row r="135" spans="1:20">
      <c r="A135" s="67">
        <v>98</v>
      </c>
      <c r="B135" s="74" t="s">
        <v>117</v>
      </c>
      <c r="C135" s="60">
        <v>3641</v>
      </c>
      <c r="D135" s="125" t="s">
        <v>365</v>
      </c>
      <c r="G135" s="61">
        <v>2657</v>
      </c>
      <c r="H135" s="61">
        <f t="shared" si="13"/>
        <v>-984</v>
      </c>
      <c r="I135" s="62">
        <f t="shared" si="12"/>
        <v>-0.2702554243339742</v>
      </c>
      <c r="K135" s="61">
        <v>2125.6</v>
      </c>
      <c r="L135" s="61">
        <f t="shared" si="14"/>
        <v>-1515.4</v>
      </c>
      <c r="M135" s="62">
        <f t="shared" si="15"/>
        <v>-0.41620433946717939</v>
      </c>
      <c r="O135" s="61">
        <v>1992.75</v>
      </c>
      <c r="P135" s="61">
        <f t="shared" si="16"/>
        <v>-1648.25</v>
      </c>
      <c r="Q135" s="62">
        <f t="shared" si="17"/>
        <v>-0.45269156825048062</v>
      </c>
      <c r="S135" s="60">
        <v>544</v>
      </c>
      <c r="T135" s="50">
        <v>476</v>
      </c>
    </row>
    <row r="136" spans="1:20">
      <c r="A136" s="67">
        <v>99</v>
      </c>
      <c r="B136" s="74" t="s">
        <v>118</v>
      </c>
      <c r="C136" s="60">
        <v>10111</v>
      </c>
      <c r="D136" s="125" t="s">
        <v>365</v>
      </c>
      <c r="G136" s="61">
        <v>12052</v>
      </c>
      <c r="H136" s="61">
        <f t="shared" si="13"/>
        <v>1941</v>
      </c>
      <c r="I136" s="62">
        <f t="shared" si="12"/>
        <v>0.19196914251804964</v>
      </c>
      <c r="K136" s="61">
        <v>9641.6</v>
      </c>
      <c r="L136" s="61">
        <f t="shared" si="14"/>
        <v>-469.39999999999964</v>
      </c>
      <c r="M136" s="62">
        <f t="shared" si="15"/>
        <v>-4.6424685985560245E-2</v>
      </c>
      <c r="O136" s="61">
        <v>9039</v>
      </c>
      <c r="P136" s="61">
        <f t="shared" si="16"/>
        <v>-1072</v>
      </c>
      <c r="Q136" s="62">
        <f t="shared" si="17"/>
        <v>-0.10602314311146277</v>
      </c>
      <c r="S136" s="60">
        <v>492</v>
      </c>
      <c r="T136" s="50">
        <v>476</v>
      </c>
    </row>
    <row r="137" spans="1:20">
      <c r="A137" s="67">
        <v>100</v>
      </c>
      <c r="B137" s="74" t="s">
        <v>119</v>
      </c>
      <c r="C137" s="60">
        <v>10111</v>
      </c>
      <c r="D137" s="125" t="s">
        <v>365</v>
      </c>
      <c r="G137" s="61">
        <v>12052</v>
      </c>
      <c r="H137" s="61">
        <f t="shared" si="13"/>
        <v>1941</v>
      </c>
      <c r="I137" s="62">
        <f t="shared" si="12"/>
        <v>0.19196914251804964</v>
      </c>
      <c r="K137" s="61">
        <v>9641.6</v>
      </c>
      <c r="L137" s="61">
        <f t="shared" si="14"/>
        <v>-469.39999999999964</v>
      </c>
      <c r="M137" s="62">
        <f t="shared" si="15"/>
        <v>-4.6424685985560245E-2</v>
      </c>
      <c r="O137" s="61">
        <v>9039</v>
      </c>
      <c r="P137" s="61">
        <f t="shared" si="16"/>
        <v>-1072</v>
      </c>
      <c r="Q137" s="62">
        <f t="shared" si="17"/>
        <v>-0.10602314311146277</v>
      </c>
      <c r="S137" s="60">
        <v>492</v>
      </c>
      <c r="T137" s="50">
        <v>476</v>
      </c>
    </row>
    <row r="138" spans="1:20">
      <c r="A138" s="67">
        <v>101</v>
      </c>
      <c r="B138" s="74" t="s">
        <v>120</v>
      </c>
      <c r="C138" s="60">
        <v>17048</v>
      </c>
      <c r="D138" s="125" t="s">
        <v>365</v>
      </c>
      <c r="G138" s="61">
        <v>14814</v>
      </c>
      <c r="H138" s="61">
        <f t="shared" si="13"/>
        <v>-2234</v>
      </c>
      <c r="I138" s="62">
        <f t="shared" si="12"/>
        <v>-0.13104176442984514</v>
      </c>
      <c r="K138" s="61">
        <v>11851.2</v>
      </c>
      <c r="L138" s="61">
        <f t="shared" si="14"/>
        <v>-5196.7999999999993</v>
      </c>
      <c r="M138" s="62">
        <f t="shared" si="15"/>
        <v>-0.30483341154387605</v>
      </c>
      <c r="O138" s="61">
        <v>11110.5</v>
      </c>
      <c r="P138" s="61">
        <f t="shared" si="16"/>
        <v>-5937.5</v>
      </c>
      <c r="Q138" s="62">
        <f t="shared" si="17"/>
        <v>-0.34828132332238387</v>
      </c>
      <c r="S138" s="60">
        <v>492</v>
      </c>
      <c r="T138" s="50">
        <v>476</v>
      </c>
    </row>
    <row r="139" spans="1:20">
      <c r="A139" s="67">
        <v>102</v>
      </c>
      <c r="B139" s="74" t="s">
        <v>121</v>
      </c>
      <c r="C139" s="60">
        <v>17048</v>
      </c>
      <c r="D139" s="125" t="s">
        <v>365</v>
      </c>
      <c r="G139" s="61">
        <v>14814</v>
      </c>
      <c r="H139" s="61">
        <f t="shared" si="13"/>
        <v>-2234</v>
      </c>
      <c r="I139" s="62">
        <f t="shared" si="12"/>
        <v>-0.13104176442984514</v>
      </c>
      <c r="K139" s="61">
        <v>11851.2</v>
      </c>
      <c r="L139" s="61">
        <f t="shared" si="14"/>
        <v>-5196.7999999999993</v>
      </c>
      <c r="M139" s="62">
        <f t="shared" si="15"/>
        <v>-0.30483341154387605</v>
      </c>
      <c r="O139" s="61">
        <v>11110.5</v>
      </c>
      <c r="P139" s="61">
        <f t="shared" si="16"/>
        <v>-5937.5</v>
      </c>
      <c r="Q139" s="62">
        <f t="shared" si="17"/>
        <v>-0.34828132332238387</v>
      </c>
      <c r="S139" s="60">
        <v>1042</v>
      </c>
      <c r="T139" s="50">
        <v>1178</v>
      </c>
    </row>
    <row r="140" spans="1:20">
      <c r="A140" s="67">
        <v>103</v>
      </c>
      <c r="B140" s="74" t="s">
        <v>122</v>
      </c>
      <c r="C140" s="60">
        <v>10111</v>
      </c>
      <c r="D140" s="125" t="s">
        <v>365</v>
      </c>
      <c r="G140" s="61">
        <v>11452</v>
      </c>
      <c r="H140" s="61">
        <f t="shared" si="13"/>
        <v>1341</v>
      </c>
      <c r="I140" s="62">
        <f t="shared" si="12"/>
        <v>0.13262783107506676</v>
      </c>
      <c r="K140" s="61">
        <v>9161.6</v>
      </c>
      <c r="L140" s="61">
        <f t="shared" si="14"/>
        <v>-949.39999999999964</v>
      </c>
      <c r="M140" s="62">
        <f t="shared" si="15"/>
        <v>-9.389773513994655E-2</v>
      </c>
      <c r="O140" s="61">
        <v>8589</v>
      </c>
      <c r="P140" s="61">
        <f t="shared" si="16"/>
        <v>-1522</v>
      </c>
      <c r="Q140" s="62">
        <f t="shared" si="17"/>
        <v>-0.15052912669369994</v>
      </c>
      <c r="S140" s="60">
        <v>943</v>
      </c>
      <c r="T140" s="50">
        <v>1178</v>
      </c>
    </row>
    <row r="141" spans="1:20">
      <c r="A141" s="67">
        <v>104</v>
      </c>
      <c r="B141" s="74" t="s">
        <v>123</v>
      </c>
      <c r="C141" s="60">
        <v>106505</v>
      </c>
      <c r="D141" s="125" t="s">
        <v>365</v>
      </c>
      <c r="G141" s="61">
        <v>31927</v>
      </c>
      <c r="H141" s="61">
        <f t="shared" si="13"/>
        <v>-74578</v>
      </c>
      <c r="I141" s="62">
        <f t="shared" si="12"/>
        <v>-0.70023003614853763</v>
      </c>
      <c r="K141" s="61">
        <v>25541.599999999999</v>
      </c>
      <c r="L141" s="61">
        <f t="shared" si="14"/>
        <v>-80963.399999999994</v>
      </c>
      <c r="M141" s="62">
        <f t="shared" si="15"/>
        <v>-0.76018402891883008</v>
      </c>
      <c r="O141" s="61">
        <v>23945.25</v>
      </c>
      <c r="P141" s="61">
        <f t="shared" si="16"/>
        <v>-82559.75</v>
      </c>
      <c r="Q141" s="62">
        <f t="shared" si="17"/>
        <v>-0.77517252711140328</v>
      </c>
      <c r="S141" s="60">
        <v>943</v>
      </c>
      <c r="T141" s="50">
        <v>1178</v>
      </c>
    </row>
    <row r="142" spans="1:20">
      <c r="A142" s="67">
        <v>105</v>
      </c>
      <c r="B142" s="74" t="s">
        <v>124</v>
      </c>
      <c r="C142" s="60">
        <v>89250</v>
      </c>
      <c r="D142" s="125" t="s">
        <v>365</v>
      </c>
      <c r="G142" s="61">
        <v>719</v>
      </c>
      <c r="H142" s="61">
        <f t="shared" si="13"/>
        <v>-88531</v>
      </c>
      <c r="I142" s="62">
        <f t="shared" si="12"/>
        <v>-0.99194397759103636</v>
      </c>
      <c r="K142" s="61">
        <v>575.20000000000005</v>
      </c>
      <c r="L142" s="61">
        <f t="shared" si="14"/>
        <v>-88674.8</v>
      </c>
      <c r="M142" s="62">
        <f t="shared" si="15"/>
        <v>-0.99355518207282911</v>
      </c>
      <c r="O142" s="61">
        <v>539.25</v>
      </c>
      <c r="P142" s="61">
        <f t="shared" si="16"/>
        <v>-88710.75</v>
      </c>
      <c r="Q142" s="62">
        <f t="shared" si="17"/>
        <v>-0.99395798319327733</v>
      </c>
      <c r="S142" s="60">
        <v>1042</v>
      </c>
      <c r="T142" s="50">
        <v>1178</v>
      </c>
    </row>
    <row r="143" spans="1:20">
      <c r="A143" s="67">
        <v>106</v>
      </c>
      <c r="B143" s="74" t="s">
        <v>125</v>
      </c>
      <c r="C143" s="60">
        <v>989</v>
      </c>
      <c r="D143" s="125" t="s">
        <v>365</v>
      </c>
      <c r="G143" s="61">
        <v>546</v>
      </c>
      <c r="H143" s="61">
        <f t="shared" si="13"/>
        <v>-443</v>
      </c>
      <c r="I143" s="62">
        <f t="shared" si="12"/>
        <v>-0.44792719919110213</v>
      </c>
      <c r="K143" s="61">
        <v>436.8</v>
      </c>
      <c r="L143" s="61">
        <f t="shared" si="14"/>
        <v>-552.20000000000005</v>
      </c>
      <c r="M143" s="62">
        <f t="shared" si="15"/>
        <v>-0.55834175935288177</v>
      </c>
      <c r="O143" s="61">
        <v>409.5</v>
      </c>
      <c r="P143" s="61">
        <f t="shared" si="16"/>
        <v>-579.5</v>
      </c>
      <c r="Q143" s="62">
        <f t="shared" si="17"/>
        <v>-0.58594539939332657</v>
      </c>
      <c r="S143" s="60">
        <v>943</v>
      </c>
      <c r="T143" s="50">
        <v>1178</v>
      </c>
    </row>
    <row r="144" spans="1:20">
      <c r="A144" s="67">
        <v>107</v>
      </c>
      <c r="B144" s="74" t="s">
        <v>126</v>
      </c>
      <c r="C144" s="60">
        <v>989</v>
      </c>
      <c r="D144" s="125" t="s">
        <v>365</v>
      </c>
      <c r="G144" s="61">
        <v>635</v>
      </c>
      <c r="H144" s="61">
        <f t="shared" si="13"/>
        <v>-354</v>
      </c>
      <c r="I144" s="62">
        <f t="shared" si="12"/>
        <v>-0.35793731041456017</v>
      </c>
      <c r="K144" s="61">
        <v>508</v>
      </c>
      <c r="L144" s="61">
        <f t="shared" si="14"/>
        <v>-481</v>
      </c>
      <c r="M144" s="62">
        <f t="shared" si="15"/>
        <v>-0.48634984833164813</v>
      </c>
      <c r="O144" s="61">
        <v>476.25</v>
      </c>
      <c r="P144" s="61">
        <f t="shared" si="16"/>
        <v>-512.75</v>
      </c>
      <c r="Q144" s="62">
        <f t="shared" si="17"/>
        <v>-0.51845298281092012</v>
      </c>
      <c r="S144" s="60">
        <v>943</v>
      </c>
      <c r="T144" s="50">
        <v>1178</v>
      </c>
    </row>
    <row r="145" spans="1:20">
      <c r="A145" s="67">
        <v>108</v>
      </c>
      <c r="B145" s="74" t="s">
        <v>127</v>
      </c>
      <c r="C145" s="60">
        <v>989</v>
      </c>
      <c r="D145" s="125" t="s">
        <v>365</v>
      </c>
      <c r="G145" s="61">
        <v>662</v>
      </c>
      <c r="H145" s="61">
        <f t="shared" si="13"/>
        <v>-327</v>
      </c>
      <c r="I145" s="62">
        <f t="shared" si="12"/>
        <v>-0.33063700707785643</v>
      </c>
      <c r="K145" s="61">
        <v>529.6</v>
      </c>
      <c r="L145" s="61">
        <f t="shared" si="14"/>
        <v>-459.4</v>
      </c>
      <c r="M145" s="62">
        <f t="shared" si="15"/>
        <v>-0.46450960566228511</v>
      </c>
      <c r="O145" s="61">
        <v>496.5</v>
      </c>
      <c r="P145" s="61">
        <f t="shared" si="16"/>
        <v>-492.5</v>
      </c>
      <c r="Q145" s="62">
        <f t="shared" si="17"/>
        <v>-0.49797775530839233</v>
      </c>
      <c r="S145" s="60">
        <v>943</v>
      </c>
      <c r="T145" s="50">
        <v>1178</v>
      </c>
    </row>
    <row r="146" spans="1:20">
      <c r="A146" s="67">
        <v>109</v>
      </c>
      <c r="B146" s="74" t="s">
        <v>128</v>
      </c>
      <c r="C146" s="60">
        <v>1089</v>
      </c>
      <c r="D146" s="125" t="s">
        <v>365</v>
      </c>
      <c r="G146" s="61">
        <v>467</v>
      </c>
      <c r="H146" s="61">
        <f t="shared" si="13"/>
        <v>-622</v>
      </c>
      <c r="I146" s="62">
        <f t="shared" si="12"/>
        <v>-0.57116620752984393</v>
      </c>
      <c r="K146" s="61">
        <v>373.6</v>
      </c>
      <c r="L146" s="61">
        <f t="shared" si="14"/>
        <v>-715.4</v>
      </c>
      <c r="M146" s="62">
        <f t="shared" si="15"/>
        <v>-0.65693296602387508</v>
      </c>
      <c r="O146" s="61">
        <v>350.25</v>
      </c>
      <c r="P146" s="61">
        <f t="shared" si="16"/>
        <v>-738.75</v>
      </c>
      <c r="Q146" s="62">
        <f t="shared" si="17"/>
        <v>-0.67837465564738297</v>
      </c>
      <c r="S146" s="60">
        <v>1587</v>
      </c>
      <c r="T146" s="50">
        <v>1428</v>
      </c>
    </row>
    <row r="147" spans="1:20">
      <c r="A147" s="67">
        <v>110</v>
      </c>
      <c r="B147" s="74" t="s">
        <v>129</v>
      </c>
      <c r="C147" s="60">
        <v>989</v>
      </c>
      <c r="D147" s="125" t="s">
        <v>365</v>
      </c>
      <c r="G147" s="61">
        <v>696</v>
      </c>
      <c r="H147" s="61">
        <f t="shared" si="13"/>
        <v>-293</v>
      </c>
      <c r="I147" s="62">
        <f t="shared" si="12"/>
        <v>-0.29625884732052576</v>
      </c>
      <c r="K147" s="61">
        <v>556.79999999999995</v>
      </c>
      <c r="L147" s="61">
        <f t="shared" si="14"/>
        <v>-432.20000000000005</v>
      </c>
      <c r="M147" s="62">
        <f t="shared" si="15"/>
        <v>-0.43700707785642068</v>
      </c>
      <c r="O147" s="61">
        <v>522</v>
      </c>
      <c r="P147" s="61">
        <f t="shared" si="16"/>
        <v>-467</v>
      </c>
      <c r="Q147" s="62">
        <f t="shared" si="17"/>
        <v>-0.47219413549039435</v>
      </c>
      <c r="S147" s="60">
        <v>1884</v>
      </c>
      <c r="T147" s="50">
        <v>1428</v>
      </c>
    </row>
    <row r="148" spans="1:20">
      <c r="A148" s="67">
        <v>111</v>
      </c>
      <c r="B148" s="74" t="s">
        <v>130</v>
      </c>
      <c r="C148" s="60">
        <v>989</v>
      </c>
      <c r="D148" s="125" t="s">
        <v>365</v>
      </c>
      <c r="G148" s="61">
        <v>696</v>
      </c>
      <c r="H148" s="61">
        <f t="shared" si="13"/>
        <v>-293</v>
      </c>
      <c r="I148" s="62">
        <f t="shared" si="12"/>
        <v>-0.29625884732052576</v>
      </c>
      <c r="K148" s="61">
        <v>556.79999999999995</v>
      </c>
      <c r="L148" s="61">
        <f t="shared" si="14"/>
        <v>-432.20000000000005</v>
      </c>
      <c r="M148" s="62">
        <f t="shared" si="15"/>
        <v>-0.43700707785642068</v>
      </c>
      <c r="O148" s="61">
        <v>522</v>
      </c>
      <c r="P148" s="61">
        <f t="shared" si="16"/>
        <v>-467</v>
      </c>
      <c r="Q148" s="62">
        <f t="shared" si="17"/>
        <v>-0.47219413549039435</v>
      </c>
      <c r="S148" s="60">
        <v>1884</v>
      </c>
      <c r="T148" s="50">
        <v>1428</v>
      </c>
    </row>
    <row r="149" spans="1:20">
      <c r="A149" s="67">
        <v>112</v>
      </c>
      <c r="B149" s="74" t="s">
        <v>131</v>
      </c>
      <c r="C149" s="60">
        <v>1918</v>
      </c>
      <c r="D149" s="125" t="s">
        <v>365</v>
      </c>
      <c r="G149" s="61">
        <v>1222</v>
      </c>
      <c r="H149" s="61">
        <f t="shared" si="13"/>
        <v>-696</v>
      </c>
      <c r="I149" s="62">
        <f t="shared" si="12"/>
        <v>-0.36287799791449427</v>
      </c>
      <c r="K149" s="61">
        <v>977.6</v>
      </c>
      <c r="L149" s="61">
        <f t="shared" si="14"/>
        <v>-940.4</v>
      </c>
      <c r="M149" s="62">
        <f t="shared" si="15"/>
        <v>-0.49030239833159539</v>
      </c>
      <c r="O149" s="61">
        <v>916.5</v>
      </c>
      <c r="P149" s="61">
        <f t="shared" si="16"/>
        <v>-1001.5</v>
      </c>
      <c r="Q149" s="62">
        <f t="shared" si="17"/>
        <v>-0.5221584984358707</v>
      </c>
      <c r="S149" s="60">
        <v>2083</v>
      </c>
      <c r="T149" s="50">
        <v>1428</v>
      </c>
    </row>
    <row r="150" spans="1:20">
      <c r="A150" s="67">
        <v>113</v>
      </c>
      <c r="B150" s="74" t="s">
        <v>132</v>
      </c>
      <c r="C150" s="60">
        <v>1918</v>
      </c>
      <c r="D150" s="125" t="s">
        <v>365</v>
      </c>
      <c r="G150" s="61">
        <v>1296</v>
      </c>
      <c r="H150" s="61">
        <f t="shared" si="13"/>
        <v>-622</v>
      </c>
      <c r="I150" s="62">
        <f t="shared" si="12"/>
        <v>-0.32429614181438998</v>
      </c>
      <c r="K150" s="61">
        <v>1036.8</v>
      </c>
      <c r="L150" s="61">
        <f t="shared" si="14"/>
        <v>-881.2</v>
      </c>
      <c r="M150" s="62">
        <f t="shared" si="15"/>
        <v>-0.459436913451512</v>
      </c>
      <c r="O150" s="61">
        <v>972</v>
      </c>
      <c r="P150" s="61">
        <f t="shared" si="16"/>
        <v>-946</v>
      </c>
      <c r="Q150" s="62">
        <f t="shared" si="17"/>
        <v>-0.4932221063607925</v>
      </c>
      <c r="S150" s="60">
        <v>1884</v>
      </c>
      <c r="T150" s="50">
        <v>1428</v>
      </c>
    </row>
    <row r="151" spans="1:20">
      <c r="A151" s="67">
        <v>114</v>
      </c>
      <c r="B151" s="74" t="s">
        <v>133</v>
      </c>
      <c r="C151" s="60">
        <v>1918</v>
      </c>
      <c r="D151" s="125" t="s">
        <v>365</v>
      </c>
      <c r="G151" s="61">
        <v>1296</v>
      </c>
      <c r="H151" s="61">
        <f t="shared" si="13"/>
        <v>-622</v>
      </c>
      <c r="I151" s="62">
        <f t="shared" si="12"/>
        <v>-0.32429614181438998</v>
      </c>
      <c r="K151" s="61">
        <v>1036.8</v>
      </c>
      <c r="L151" s="61">
        <f t="shared" si="14"/>
        <v>-881.2</v>
      </c>
      <c r="M151" s="62">
        <f t="shared" si="15"/>
        <v>-0.459436913451512</v>
      </c>
      <c r="O151" s="61">
        <v>972</v>
      </c>
      <c r="P151" s="61">
        <f t="shared" si="16"/>
        <v>-946</v>
      </c>
      <c r="Q151" s="62">
        <f t="shared" si="17"/>
        <v>-0.4932221063607925</v>
      </c>
      <c r="S151" s="60">
        <v>1884</v>
      </c>
      <c r="T151" s="50">
        <v>1428</v>
      </c>
    </row>
    <row r="152" spans="1:20">
      <c r="A152" s="67">
        <v>115</v>
      </c>
      <c r="B152" s="74" t="s">
        <v>134</v>
      </c>
      <c r="C152" s="60">
        <v>2109</v>
      </c>
      <c r="D152" s="125" t="s">
        <v>365</v>
      </c>
      <c r="G152" s="61">
        <v>1296</v>
      </c>
      <c r="H152" s="61">
        <f t="shared" si="13"/>
        <v>-813</v>
      </c>
      <c r="I152" s="62">
        <f t="shared" si="12"/>
        <v>-0.38549075391180654</v>
      </c>
      <c r="K152" s="61">
        <v>1036.8</v>
      </c>
      <c r="L152" s="61">
        <f t="shared" si="14"/>
        <v>-1072.2</v>
      </c>
      <c r="M152" s="62">
        <f t="shared" si="15"/>
        <v>-0.50839260312944523</v>
      </c>
      <c r="O152" s="61">
        <v>972</v>
      </c>
      <c r="P152" s="61">
        <f t="shared" si="16"/>
        <v>-1137</v>
      </c>
      <c r="Q152" s="62">
        <f t="shared" si="17"/>
        <v>-0.53911806543385488</v>
      </c>
      <c r="S152" s="60">
        <v>2443</v>
      </c>
      <c r="T152" s="50">
        <v>1428</v>
      </c>
    </row>
    <row r="153" spans="1:20">
      <c r="A153" s="67">
        <v>116</v>
      </c>
      <c r="B153" s="74" t="s">
        <v>135</v>
      </c>
      <c r="C153" s="60">
        <v>1918</v>
      </c>
      <c r="D153" s="125" t="s">
        <v>365</v>
      </c>
      <c r="G153" s="61">
        <v>1296</v>
      </c>
      <c r="H153" s="61">
        <f t="shared" si="13"/>
        <v>-622</v>
      </c>
      <c r="I153" s="62">
        <f t="shared" si="12"/>
        <v>-0.32429614181438998</v>
      </c>
      <c r="K153" s="61">
        <v>1036.8</v>
      </c>
      <c r="L153" s="61">
        <f t="shared" si="14"/>
        <v>-881.2</v>
      </c>
      <c r="M153" s="62">
        <f t="shared" si="15"/>
        <v>-0.459436913451512</v>
      </c>
      <c r="O153" s="61">
        <v>972</v>
      </c>
      <c r="P153" s="61">
        <f t="shared" si="16"/>
        <v>-946</v>
      </c>
      <c r="Q153" s="62">
        <f t="shared" si="17"/>
        <v>-0.4932221063607925</v>
      </c>
      <c r="S153" s="60">
        <v>2380</v>
      </c>
      <c r="T153" s="50">
        <v>3332</v>
      </c>
    </row>
    <row r="154" spans="1:20">
      <c r="A154" s="67">
        <v>117</v>
      </c>
      <c r="B154" s="74" t="s">
        <v>136</v>
      </c>
      <c r="C154" s="60">
        <v>1918</v>
      </c>
      <c r="D154" s="125" t="s">
        <v>365</v>
      </c>
      <c r="G154" s="61">
        <v>1296</v>
      </c>
      <c r="H154" s="61">
        <f t="shared" si="13"/>
        <v>-622</v>
      </c>
      <c r="I154" s="62">
        <f t="shared" si="12"/>
        <v>-0.32429614181438998</v>
      </c>
      <c r="K154" s="61">
        <v>1036.8</v>
      </c>
      <c r="L154" s="61">
        <f t="shared" si="14"/>
        <v>-881.2</v>
      </c>
      <c r="M154" s="62">
        <f t="shared" si="15"/>
        <v>-0.459436913451512</v>
      </c>
      <c r="O154" s="61">
        <v>972</v>
      </c>
      <c r="P154" s="61">
        <f t="shared" si="16"/>
        <v>-946</v>
      </c>
      <c r="Q154" s="62">
        <f t="shared" si="17"/>
        <v>-0.4932221063607925</v>
      </c>
      <c r="S154" s="60">
        <v>2827</v>
      </c>
      <c r="T154" s="50">
        <v>3332</v>
      </c>
    </row>
    <row r="155" spans="1:20">
      <c r="A155" s="67">
        <v>118</v>
      </c>
      <c r="B155" s="74" t="s">
        <v>137</v>
      </c>
      <c r="C155" s="60">
        <v>3967</v>
      </c>
      <c r="D155" s="125" t="s">
        <v>365</v>
      </c>
      <c r="G155" s="61">
        <v>1414</v>
      </c>
      <c r="H155" s="61">
        <f t="shared" si="13"/>
        <v>-2553</v>
      </c>
      <c r="I155" s="62">
        <f t="shared" si="12"/>
        <v>-0.6435593647592639</v>
      </c>
      <c r="K155" s="61">
        <v>1131.2</v>
      </c>
      <c r="L155" s="61">
        <f t="shared" si="14"/>
        <v>-2835.8</v>
      </c>
      <c r="M155" s="62">
        <f t="shared" si="15"/>
        <v>-0.71484749180741114</v>
      </c>
      <c r="O155" s="61">
        <v>1060.5</v>
      </c>
      <c r="P155" s="61">
        <f t="shared" si="16"/>
        <v>-2906.5</v>
      </c>
      <c r="Q155" s="62">
        <f t="shared" si="17"/>
        <v>-0.73266952356944792</v>
      </c>
      <c r="S155" s="60">
        <v>2827</v>
      </c>
      <c r="T155" s="50">
        <v>3332</v>
      </c>
    </row>
    <row r="156" spans="1:20">
      <c r="A156" s="67">
        <v>119</v>
      </c>
      <c r="B156" s="74" t="s">
        <v>138</v>
      </c>
      <c r="C156" s="60">
        <v>3967</v>
      </c>
      <c r="D156" s="125" t="s">
        <v>365</v>
      </c>
      <c r="G156" s="61">
        <v>1494</v>
      </c>
      <c r="H156" s="61">
        <f t="shared" si="13"/>
        <v>-2473</v>
      </c>
      <c r="I156" s="62">
        <f t="shared" si="12"/>
        <v>-0.62339299218553068</v>
      </c>
      <c r="K156" s="61">
        <v>1195.2</v>
      </c>
      <c r="L156" s="61">
        <f t="shared" si="14"/>
        <v>-2771.8</v>
      </c>
      <c r="M156" s="62">
        <f t="shared" si="15"/>
        <v>-0.69871439374842459</v>
      </c>
      <c r="O156" s="61">
        <v>1120.5</v>
      </c>
      <c r="P156" s="61">
        <f t="shared" si="16"/>
        <v>-2846.5</v>
      </c>
      <c r="Q156" s="62">
        <f t="shared" si="17"/>
        <v>-0.71754474413914793</v>
      </c>
      <c r="S156" s="60">
        <v>3124</v>
      </c>
      <c r="T156" s="50">
        <v>3332</v>
      </c>
    </row>
    <row r="157" spans="1:20">
      <c r="A157" s="67">
        <v>120</v>
      </c>
      <c r="B157" s="74" t="s">
        <v>139</v>
      </c>
      <c r="C157" s="60">
        <v>3967</v>
      </c>
      <c r="D157" s="125" t="s">
        <v>365</v>
      </c>
      <c r="G157" s="61">
        <v>1494</v>
      </c>
      <c r="H157" s="61">
        <f t="shared" si="13"/>
        <v>-2473</v>
      </c>
      <c r="I157" s="62">
        <f t="shared" si="12"/>
        <v>-0.62339299218553068</v>
      </c>
      <c r="K157" s="61">
        <v>1195.2</v>
      </c>
      <c r="L157" s="61">
        <f t="shared" si="14"/>
        <v>-2771.8</v>
      </c>
      <c r="M157" s="62">
        <f t="shared" si="15"/>
        <v>-0.69871439374842459</v>
      </c>
      <c r="O157" s="61">
        <v>1120.5</v>
      </c>
      <c r="P157" s="61">
        <f t="shared" si="16"/>
        <v>-2846.5</v>
      </c>
      <c r="Q157" s="62">
        <f t="shared" si="17"/>
        <v>-0.71754474413914793</v>
      </c>
      <c r="S157" s="60">
        <v>2827</v>
      </c>
      <c r="T157" s="50">
        <v>3332</v>
      </c>
    </row>
    <row r="158" spans="1:20">
      <c r="A158" s="67">
        <v>121</v>
      </c>
      <c r="B158" s="74" t="s">
        <v>140</v>
      </c>
      <c r="C158" s="60">
        <v>4348</v>
      </c>
      <c r="D158" s="125" t="s">
        <v>365</v>
      </c>
      <c r="G158" s="61">
        <v>1454</v>
      </c>
      <c r="H158" s="61">
        <f t="shared" si="13"/>
        <v>-2894</v>
      </c>
      <c r="I158" s="62">
        <f t="shared" si="12"/>
        <v>-0.66559337626494941</v>
      </c>
      <c r="K158" s="61">
        <v>1163.2</v>
      </c>
      <c r="L158" s="61">
        <f t="shared" si="14"/>
        <v>-3184.8</v>
      </c>
      <c r="M158" s="62">
        <f t="shared" si="15"/>
        <v>-0.73247470101195955</v>
      </c>
      <c r="O158" s="61">
        <v>1090.5</v>
      </c>
      <c r="P158" s="61">
        <f t="shared" si="16"/>
        <v>-3257.5</v>
      </c>
      <c r="Q158" s="62">
        <f t="shared" si="17"/>
        <v>-0.74919503219871209</v>
      </c>
      <c r="S158" s="60">
        <v>2827</v>
      </c>
      <c r="T158" s="50">
        <v>3332</v>
      </c>
    </row>
    <row r="159" spans="1:20">
      <c r="A159" s="67">
        <v>122</v>
      </c>
      <c r="B159" s="74" t="s">
        <v>141</v>
      </c>
      <c r="C159" s="60">
        <v>3967</v>
      </c>
      <c r="D159" s="125" t="s">
        <v>365</v>
      </c>
      <c r="G159" s="61">
        <v>1494</v>
      </c>
      <c r="H159" s="61">
        <f t="shared" si="13"/>
        <v>-2473</v>
      </c>
      <c r="I159" s="62">
        <f t="shared" si="12"/>
        <v>-0.62339299218553068</v>
      </c>
      <c r="K159" s="61">
        <v>1195.2</v>
      </c>
      <c r="L159" s="61">
        <f t="shared" si="14"/>
        <v>-2771.8</v>
      </c>
      <c r="M159" s="62">
        <f t="shared" si="15"/>
        <v>-0.69871439374842459</v>
      </c>
      <c r="O159" s="61">
        <v>1120.5</v>
      </c>
      <c r="P159" s="61">
        <f t="shared" si="16"/>
        <v>-2846.5</v>
      </c>
      <c r="Q159" s="62">
        <f t="shared" si="17"/>
        <v>-0.71754474413914793</v>
      </c>
      <c r="S159" s="60">
        <v>2672</v>
      </c>
      <c r="T159" s="50">
        <v>3332</v>
      </c>
    </row>
    <row r="160" spans="1:20">
      <c r="A160" s="67">
        <v>123</v>
      </c>
      <c r="B160" s="74" t="s">
        <v>142</v>
      </c>
      <c r="C160" s="60">
        <v>3967</v>
      </c>
      <c r="D160" s="125" t="s">
        <v>365</v>
      </c>
      <c r="G160" s="61">
        <v>1494</v>
      </c>
      <c r="H160" s="61">
        <f t="shared" si="13"/>
        <v>-2473</v>
      </c>
      <c r="I160" s="62">
        <f t="shared" si="12"/>
        <v>-0.62339299218553068</v>
      </c>
      <c r="K160" s="61">
        <v>1195.2</v>
      </c>
      <c r="L160" s="61">
        <f t="shared" si="14"/>
        <v>-2771.8</v>
      </c>
      <c r="M160" s="62">
        <f t="shared" si="15"/>
        <v>-0.69871439374842459</v>
      </c>
      <c r="O160" s="61">
        <v>1120.5</v>
      </c>
      <c r="P160" s="61">
        <f t="shared" si="16"/>
        <v>-2846.5</v>
      </c>
      <c r="Q160" s="62">
        <f t="shared" si="17"/>
        <v>-0.71754474413914793</v>
      </c>
      <c r="S160" s="60">
        <v>2140</v>
      </c>
      <c r="T160" s="50">
        <v>2658</v>
      </c>
    </row>
    <row r="161" spans="1:20">
      <c r="A161" s="67">
        <v>124</v>
      </c>
      <c r="B161" s="74" t="s">
        <v>143</v>
      </c>
      <c r="C161" s="60">
        <v>5290</v>
      </c>
      <c r="D161" s="125" t="s">
        <v>365</v>
      </c>
      <c r="G161" s="61">
        <v>1765</v>
      </c>
      <c r="H161" s="61">
        <f t="shared" si="13"/>
        <v>-3525</v>
      </c>
      <c r="I161" s="62">
        <f t="shared" si="12"/>
        <v>-0.66635160680529304</v>
      </c>
      <c r="K161" s="61">
        <v>1412</v>
      </c>
      <c r="L161" s="61">
        <f t="shared" si="14"/>
        <v>-3878</v>
      </c>
      <c r="M161" s="62">
        <f t="shared" si="15"/>
        <v>-0.73308128544423445</v>
      </c>
      <c r="O161" s="61">
        <v>1323.75</v>
      </c>
      <c r="P161" s="61">
        <f t="shared" si="16"/>
        <v>-3966.25</v>
      </c>
      <c r="Q161" s="62">
        <f t="shared" si="17"/>
        <v>-0.74976370510396972</v>
      </c>
      <c r="S161" s="60">
        <v>2140</v>
      </c>
      <c r="T161" s="50">
        <v>2658</v>
      </c>
    </row>
    <row r="162" spans="1:20">
      <c r="A162" s="67">
        <v>125</v>
      </c>
      <c r="B162" s="74" t="s">
        <v>144</v>
      </c>
      <c r="C162" s="60">
        <v>5290</v>
      </c>
      <c r="D162" s="125" t="s">
        <v>365</v>
      </c>
      <c r="G162" s="61">
        <v>2796</v>
      </c>
      <c r="H162" s="61">
        <f t="shared" si="13"/>
        <v>-2494</v>
      </c>
      <c r="I162" s="62">
        <f t="shared" si="12"/>
        <v>-0.47145557655954634</v>
      </c>
      <c r="K162" s="61">
        <v>2236.8000000000002</v>
      </c>
      <c r="L162" s="61">
        <f t="shared" si="14"/>
        <v>-3053.2</v>
      </c>
      <c r="M162" s="62">
        <f t="shared" si="15"/>
        <v>-0.57716446124763698</v>
      </c>
      <c r="O162" s="61">
        <v>2097</v>
      </c>
      <c r="P162" s="61">
        <f t="shared" si="16"/>
        <v>-3193</v>
      </c>
      <c r="Q162" s="62">
        <f t="shared" si="17"/>
        <v>-0.60359168241965977</v>
      </c>
      <c r="S162" s="60">
        <v>2553</v>
      </c>
      <c r="T162" s="50">
        <v>3165</v>
      </c>
    </row>
    <row r="163" spans="1:20">
      <c r="A163" s="67">
        <v>126</v>
      </c>
      <c r="B163" s="74" t="s">
        <v>145</v>
      </c>
      <c r="C163" s="60">
        <v>5290</v>
      </c>
      <c r="D163" s="125" t="s">
        <v>365</v>
      </c>
      <c r="G163" s="61">
        <v>2965</v>
      </c>
      <c r="H163" s="61">
        <f t="shared" si="13"/>
        <v>-2325</v>
      </c>
      <c r="I163" s="62">
        <f t="shared" si="12"/>
        <v>-0.43950850661625707</v>
      </c>
      <c r="K163" s="61">
        <v>2372</v>
      </c>
      <c r="L163" s="61">
        <f t="shared" si="14"/>
        <v>-2918</v>
      </c>
      <c r="M163" s="62">
        <f t="shared" si="15"/>
        <v>-0.55160680529300565</v>
      </c>
      <c r="O163" s="61">
        <v>2223.75</v>
      </c>
      <c r="P163" s="61">
        <f t="shared" si="16"/>
        <v>-3066.25</v>
      </c>
      <c r="Q163" s="62">
        <f t="shared" si="17"/>
        <v>-0.57963137996219283</v>
      </c>
      <c r="S163" s="60">
        <v>2553</v>
      </c>
      <c r="T163" s="50">
        <v>2919</v>
      </c>
    </row>
    <row r="164" spans="1:20">
      <c r="A164" s="67">
        <v>127</v>
      </c>
      <c r="B164" s="74" t="s">
        <v>146</v>
      </c>
      <c r="C164" s="60">
        <v>5798</v>
      </c>
      <c r="D164" s="125" t="s">
        <v>365</v>
      </c>
      <c r="G164" s="61">
        <v>2133</v>
      </c>
      <c r="H164" s="61">
        <f t="shared" si="13"/>
        <v>-3665</v>
      </c>
      <c r="I164" s="62">
        <f t="shared" si="12"/>
        <v>-0.6321145222490514</v>
      </c>
      <c r="K164" s="61">
        <v>1706.4</v>
      </c>
      <c r="L164" s="61">
        <f t="shared" si="14"/>
        <v>-4091.6</v>
      </c>
      <c r="M164" s="62">
        <f t="shared" si="15"/>
        <v>-0.70569161779924106</v>
      </c>
      <c r="O164" s="61">
        <v>1599.75</v>
      </c>
      <c r="P164" s="61">
        <f t="shared" si="16"/>
        <v>-4198.25</v>
      </c>
      <c r="Q164" s="62">
        <f t="shared" si="17"/>
        <v>-0.7240858916867885</v>
      </c>
      <c r="S164" s="60">
        <v>3173</v>
      </c>
      <c r="T164" s="50">
        <v>3628</v>
      </c>
    </row>
    <row r="165" spans="1:20">
      <c r="A165" s="67">
        <v>128</v>
      </c>
      <c r="B165" s="74" t="s">
        <v>147</v>
      </c>
      <c r="C165" s="60">
        <v>5287</v>
      </c>
      <c r="D165" s="125" t="s">
        <v>365</v>
      </c>
      <c r="G165" s="61">
        <v>2762</v>
      </c>
      <c r="H165" s="61">
        <f t="shared" si="13"/>
        <v>-2525</v>
      </c>
      <c r="I165" s="62">
        <f t="shared" si="12"/>
        <v>-0.47758653300548515</v>
      </c>
      <c r="K165" s="61">
        <v>2209.6</v>
      </c>
      <c r="L165" s="61">
        <f t="shared" si="14"/>
        <v>-3077.4</v>
      </c>
      <c r="M165" s="62">
        <f t="shared" si="15"/>
        <v>-0.58206922640438818</v>
      </c>
      <c r="O165" s="61">
        <v>2071.5</v>
      </c>
      <c r="P165" s="61">
        <f t="shared" si="16"/>
        <v>-3215.5</v>
      </c>
      <c r="Q165" s="62">
        <f t="shared" si="17"/>
        <v>-0.60818989975411386</v>
      </c>
      <c r="S165" s="60">
        <v>10948</v>
      </c>
      <c r="T165" s="50">
        <v>45220</v>
      </c>
    </row>
    <row r="166" spans="1:20">
      <c r="A166" s="67">
        <v>129</v>
      </c>
      <c r="B166" s="74" t="s">
        <v>148</v>
      </c>
      <c r="C166" s="60">
        <v>5287</v>
      </c>
      <c r="D166" s="125" t="s">
        <v>365</v>
      </c>
      <c r="G166" s="61">
        <v>2486</v>
      </c>
      <c r="H166" s="61">
        <f t="shared" si="13"/>
        <v>-2801</v>
      </c>
      <c r="I166" s="62">
        <f t="shared" ref="I166:I229" si="18">H166/C166</f>
        <v>-0.52979005106865895</v>
      </c>
      <c r="K166" s="61">
        <v>1988.8</v>
      </c>
      <c r="L166" s="61">
        <f t="shared" si="14"/>
        <v>-3298.2</v>
      </c>
      <c r="M166" s="62">
        <f t="shared" si="15"/>
        <v>-0.62383204085492716</v>
      </c>
      <c r="O166" s="61">
        <v>1864.5</v>
      </c>
      <c r="P166" s="61">
        <f t="shared" si="16"/>
        <v>-3422.5</v>
      </c>
      <c r="Q166" s="62">
        <f t="shared" si="17"/>
        <v>-0.64734253830149424</v>
      </c>
      <c r="S166" s="60">
        <v>6560</v>
      </c>
      <c r="T166" s="50">
        <v>6984</v>
      </c>
    </row>
    <row r="167" spans="1:20">
      <c r="A167" s="67">
        <v>130</v>
      </c>
      <c r="B167" s="74" t="s">
        <v>149</v>
      </c>
      <c r="C167" s="60">
        <v>3800</v>
      </c>
      <c r="D167" s="125" t="s">
        <v>365</v>
      </c>
      <c r="G167" s="61">
        <v>2821</v>
      </c>
      <c r="H167" s="61">
        <f t="shared" ref="H167:H230" si="19">+G167-C167</f>
        <v>-979</v>
      </c>
      <c r="I167" s="62">
        <f t="shared" si="18"/>
        <v>-0.25763157894736843</v>
      </c>
      <c r="K167" s="61">
        <v>2256.8000000000002</v>
      </c>
      <c r="L167" s="61">
        <f t="shared" ref="L167:L230" si="20">+K167-C167</f>
        <v>-1543.1999999999998</v>
      </c>
      <c r="M167" s="62">
        <f t="shared" ref="M167:M230" si="21">L167/C167</f>
        <v>-0.40610526315789469</v>
      </c>
      <c r="O167" s="61">
        <v>2115.75</v>
      </c>
      <c r="P167" s="61">
        <f t="shared" ref="P167:P230" si="22">+O167-C167</f>
        <v>-1684.25</v>
      </c>
      <c r="Q167" s="62">
        <f t="shared" ref="Q167:Q230" si="23">+P167/C167</f>
        <v>-0.44322368421052633</v>
      </c>
      <c r="S167" s="60">
        <v>15601</v>
      </c>
      <c r="T167" s="50">
        <v>13529</v>
      </c>
    </row>
    <row r="168" spans="1:20">
      <c r="A168" s="67">
        <v>131</v>
      </c>
      <c r="B168" s="74" t="s">
        <v>150</v>
      </c>
      <c r="C168" s="60">
        <v>3550</v>
      </c>
      <c r="D168" s="125" t="s">
        <v>365</v>
      </c>
      <c r="G168" s="61">
        <v>2821</v>
      </c>
      <c r="H168" s="61">
        <f t="shared" si="19"/>
        <v>-729</v>
      </c>
      <c r="I168" s="62">
        <f t="shared" si="18"/>
        <v>-0.20535211267605633</v>
      </c>
      <c r="K168" s="61">
        <v>2256.8000000000002</v>
      </c>
      <c r="L168" s="61">
        <f t="shared" si="20"/>
        <v>-1293.1999999999998</v>
      </c>
      <c r="M168" s="62">
        <f t="shared" si="21"/>
        <v>-0.36428169014084499</v>
      </c>
      <c r="O168" s="61">
        <v>2115.75</v>
      </c>
      <c r="P168" s="61">
        <f t="shared" si="22"/>
        <v>-1434.25</v>
      </c>
      <c r="Q168" s="62">
        <f t="shared" si="23"/>
        <v>-0.40401408450704224</v>
      </c>
      <c r="S168" s="60">
        <v>3000</v>
      </c>
      <c r="T168" s="50">
        <v>3713</v>
      </c>
    </row>
    <row r="169" spans="1:20">
      <c r="A169" s="67">
        <v>132</v>
      </c>
      <c r="B169" s="74" t="s">
        <v>151</v>
      </c>
      <c r="C169" s="60">
        <v>4172</v>
      </c>
      <c r="D169" s="125" t="s">
        <v>365</v>
      </c>
      <c r="G169" s="61">
        <v>3487</v>
      </c>
      <c r="H169" s="61">
        <f t="shared" si="19"/>
        <v>-685</v>
      </c>
      <c r="I169" s="62">
        <f t="shared" si="18"/>
        <v>-0.16418983700862896</v>
      </c>
      <c r="K169" s="61">
        <v>2789.6</v>
      </c>
      <c r="L169" s="61">
        <f t="shared" si="20"/>
        <v>-1382.4</v>
      </c>
      <c r="M169" s="62">
        <f t="shared" si="21"/>
        <v>-0.33135186960690316</v>
      </c>
      <c r="O169" s="61">
        <v>2615.25</v>
      </c>
      <c r="P169" s="61">
        <f t="shared" si="22"/>
        <v>-1556.75</v>
      </c>
      <c r="Q169" s="62">
        <f t="shared" si="23"/>
        <v>-0.37314237775647174</v>
      </c>
      <c r="S169" s="60">
        <v>5000</v>
      </c>
      <c r="T169" s="50">
        <v>5950</v>
      </c>
    </row>
    <row r="170" spans="1:20">
      <c r="A170" s="67">
        <v>133</v>
      </c>
      <c r="B170" s="74" t="s">
        <v>152</v>
      </c>
      <c r="C170" s="60">
        <v>4532</v>
      </c>
      <c r="D170" s="125" t="s">
        <v>365</v>
      </c>
      <c r="G170" s="61">
        <v>3364</v>
      </c>
      <c r="H170" s="61">
        <f t="shared" si="19"/>
        <v>-1168</v>
      </c>
      <c r="I170" s="62">
        <f t="shared" si="18"/>
        <v>-0.25772285966460723</v>
      </c>
      <c r="K170" s="61">
        <v>2691.2</v>
      </c>
      <c r="L170" s="61">
        <f t="shared" si="20"/>
        <v>-1840.8000000000002</v>
      </c>
      <c r="M170" s="62">
        <f t="shared" si="21"/>
        <v>-0.40617828773168585</v>
      </c>
      <c r="O170" s="61">
        <v>2523</v>
      </c>
      <c r="P170" s="61">
        <f t="shared" si="22"/>
        <v>-2009</v>
      </c>
      <c r="Q170" s="62">
        <f t="shared" si="23"/>
        <v>-0.44329214474845541</v>
      </c>
      <c r="S170" s="60">
        <v>5000</v>
      </c>
      <c r="T170" s="50">
        <v>5950</v>
      </c>
    </row>
    <row r="171" spans="1:20">
      <c r="A171" s="67">
        <v>134</v>
      </c>
      <c r="B171" s="74" t="s">
        <v>153</v>
      </c>
      <c r="C171" s="60">
        <v>5181</v>
      </c>
      <c r="D171" s="125" t="s">
        <v>365</v>
      </c>
      <c r="G171" s="61">
        <v>2822</v>
      </c>
      <c r="H171" s="61">
        <f t="shared" si="19"/>
        <v>-2359</v>
      </c>
      <c r="I171" s="62">
        <f t="shared" si="18"/>
        <v>-0.45531750627292028</v>
      </c>
      <c r="K171" s="61">
        <v>2257.6</v>
      </c>
      <c r="L171" s="61">
        <f t="shared" si="20"/>
        <v>-2923.4</v>
      </c>
      <c r="M171" s="62">
        <f t="shared" si="21"/>
        <v>-0.56425400501833622</v>
      </c>
      <c r="O171" s="61">
        <v>2116.5</v>
      </c>
      <c r="P171" s="61">
        <f t="shared" si="22"/>
        <v>-3064.5</v>
      </c>
      <c r="Q171" s="62">
        <f t="shared" si="23"/>
        <v>-0.59148812970469022</v>
      </c>
      <c r="S171" s="60">
        <v>963</v>
      </c>
      <c r="T171" s="50">
        <v>1270</v>
      </c>
    </row>
    <row r="172" spans="1:20">
      <c r="A172" s="67">
        <v>135</v>
      </c>
      <c r="B172" s="74" t="s">
        <v>154</v>
      </c>
      <c r="C172" s="60">
        <v>13096</v>
      </c>
      <c r="D172" s="125" t="s">
        <v>365</v>
      </c>
      <c r="G172" s="61">
        <v>19336</v>
      </c>
      <c r="H172" s="61">
        <f t="shared" si="19"/>
        <v>6240</v>
      </c>
      <c r="I172" s="62">
        <f t="shared" si="18"/>
        <v>0.47648136835675015</v>
      </c>
      <c r="K172" s="61">
        <v>15468.8</v>
      </c>
      <c r="L172" s="61">
        <f t="shared" si="20"/>
        <v>2372.7999999999993</v>
      </c>
      <c r="M172" s="62">
        <f t="shared" si="21"/>
        <v>0.18118509468540006</v>
      </c>
      <c r="O172" s="61">
        <v>14502</v>
      </c>
      <c r="P172" s="61">
        <f t="shared" si="22"/>
        <v>1406</v>
      </c>
      <c r="Q172" s="62">
        <f t="shared" si="23"/>
        <v>0.10736102626756261</v>
      </c>
      <c r="S172" s="60">
        <v>7650</v>
      </c>
      <c r="T172" s="50">
        <v>6722</v>
      </c>
    </row>
    <row r="173" spans="1:20">
      <c r="A173" s="67">
        <v>136</v>
      </c>
      <c r="B173" s="74" t="s">
        <v>155</v>
      </c>
      <c r="C173" s="60">
        <v>9415</v>
      </c>
      <c r="D173" s="125" t="s">
        <v>365</v>
      </c>
      <c r="G173" s="61">
        <v>6636</v>
      </c>
      <c r="H173" s="61">
        <f t="shared" si="19"/>
        <v>-2779</v>
      </c>
      <c r="I173" s="62">
        <f t="shared" si="18"/>
        <v>-0.29516728624535316</v>
      </c>
      <c r="K173" s="61">
        <v>5308.8</v>
      </c>
      <c r="L173" s="61">
        <f t="shared" si="20"/>
        <v>-4106.2</v>
      </c>
      <c r="M173" s="62">
        <f t="shared" si="21"/>
        <v>-0.4361338289962825</v>
      </c>
      <c r="O173" s="61">
        <v>4977</v>
      </c>
      <c r="P173" s="61">
        <f t="shared" si="22"/>
        <v>-4438</v>
      </c>
      <c r="Q173" s="62">
        <f t="shared" si="23"/>
        <v>-0.47137546468401487</v>
      </c>
      <c r="S173" s="60">
        <v>5165</v>
      </c>
      <c r="T173" s="50">
        <v>6722</v>
      </c>
    </row>
    <row r="174" spans="1:20">
      <c r="A174" s="67">
        <v>137</v>
      </c>
      <c r="B174" s="74" t="s">
        <v>156</v>
      </c>
      <c r="C174" s="60">
        <v>20575.099999999999</v>
      </c>
      <c r="D174" s="125" t="s">
        <v>365</v>
      </c>
      <c r="G174" s="61">
        <v>17500</v>
      </c>
      <c r="H174" s="61">
        <f t="shared" si="19"/>
        <v>-3075.0999999999985</v>
      </c>
      <c r="I174" s="62">
        <f t="shared" si="18"/>
        <v>-0.14945735379171907</v>
      </c>
      <c r="K174" s="61">
        <v>14000</v>
      </c>
      <c r="L174" s="61">
        <f t="shared" si="20"/>
        <v>-6575.0999999999985</v>
      </c>
      <c r="M174" s="62">
        <f t="shared" si="21"/>
        <v>-0.31956588303337524</v>
      </c>
      <c r="O174" s="61">
        <v>13125</v>
      </c>
      <c r="P174" s="61">
        <f t="shared" si="22"/>
        <v>-7450.0999999999985</v>
      </c>
      <c r="Q174" s="62">
        <f t="shared" si="23"/>
        <v>-0.36209301534378929</v>
      </c>
      <c r="S174" s="60">
        <v>9224</v>
      </c>
      <c r="T174" s="50">
        <v>7210</v>
      </c>
    </row>
    <row r="175" spans="1:20">
      <c r="A175" s="67">
        <v>138</v>
      </c>
      <c r="B175" s="74" t="s">
        <v>157</v>
      </c>
      <c r="C175" s="60">
        <v>6739</v>
      </c>
      <c r="D175" s="125" t="s">
        <v>365</v>
      </c>
      <c r="G175" s="61">
        <v>2489</v>
      </c>
      <c r="H175" s="61">
        <f t="shared" si="19"/>
        <v>-4250</v>
      </c>
      <c r="I175" s="62">
        <f t="shared" si="18"/>
        <v>-0.63065736756195279</v>
      </c>
      <c r="K175" s="61">
        <v>1991.2</v>
      </c>
      <c r="L175" s="61">
        <f t="shared" si="20"/>
        <v>-4747.8</v>
      </c>
      <c r="M175" s="62">
        <f t="shared" si="21"/>
        <v>-0.70452589404956223</v>
      </c>
      <c r="O175" s="61">
        <v>1866.75</v>
      </c>
      <c r="P175" s="61">
        <f t="shared" si="22"/>
        <v>-4872.25</v>
      </c>
      <c r="Q175" s="62">
        <f t="shared" si="23"/>
        <v>-0.72299302567146462</v>
      </c>
      <c r="S175" s="60">
        <v>5817</v>
      </c>
      <c r="T175" s="50">
        <v>7210</v>
      </c>
    </row>
    <row r="176" spans="1:20">
      <c r="A176" s="67">
        <v>139</v>
      </c>
      <c r="B176" s="74" t="s">
        <v>158</v>
      </c>
      <c r="C176" s="60">
        <v>11500</v>
      </c>
      <c r="D176" s="125" t="s">
        <v>365</v>
      </c>
      <c r="G176" s="61">
        <v>7808</v>
      </c>
      <c r="H176" s="61">
        <f t="shared" si="19"/>
        <v>-3692</v>
      </c>
      <c r="I176" s="62">
        <f t="shared" si="18"/>
        <v>-0.32104347826086954</v>
      </c>
      <c r="K176" s="61">
        <v>6246.4</v>
      </c>
      <c r="L176" s="61">
        <f t="shared" si="20"/>
        <v>-5253.6</v>
      </c>
      <c r="M176" s="62">
        <f t="shared" si="21"/>
        <v>-0.4568347826086957</v>
      </c>
      <c r="O176" s="61">
        <v>5856</v>
      </c>
      <c r="P176" s="61">
        <f t="shared" si="22"/>
        <v>-5644</v>
      </c>
      <c r="Q176" s="62">
        <f t="shared" si="23"/>
        <v>-0.49078260869565216</v>
      </c>
      <c r="S176" s="60">
        <v>2760</v>
      </c>
      <c r="T176" s="50">
        <v>5355</v>
      </c>
    </row>
    <row r="177" spans="1:20">
      <c r="A177" s="67">
        <v>140</v>
      </c>
      <c r="B177" s="74" t="s">
        <v>159</v>
      </c>
      <c r="C177" s="60">
        <v>11500</v>
      </c>
      <c r="D177" s="125" t="s">
        <v>365</v>
      </c>
      <c r="G177" s="61">
        <v>11886</v>
      </c>
      <c r="H177" s="61">
        <f t="shared" si="19"/>
        <v>386</v>
      </c>
      <c r="I177" s="62">
        <f t="shared" si="18"/>
        <v>3.3565217391304344E-2</v>
      </c>
      <c r="K177" s="61">
        <v>9508.7999999999993</v>
      </c>
      <c r="L177" s="61">
        <f t="shared" si="20"/>
        <v>-1991.2000000000007</v>
      </c>
      <c r="M177" s="62">
        <f t="shared" si="21"/>
        <v>-0.17314782608695659</v>
      </c>
      <c r="O177" s="61">
        <v>8914.5</v>
      </c>
      <c r="P177" s="61">
        <f t="shared" si="22"/>
        <v>-2585.5</v>
      </c>
      <c r="Q177" s="62">
        <f t="shared" si="23"/>
        <v>-0.22482608695652173</v>
      </c>
      <c r="S177" s="60">
        <v>16006</v>
      </c>
      <c r="T177" s="50">
        <v>15628</v>
      </c>
    </row>
    <row r="178" spans="1:20">
      <c r="A178" s="67">
        <v>141</v>
      </c>
      <c r="B178" s="74" t="s">
        <v>160</v>
      </c>
      <c r="C178" s="60">
        <v>1667</v>
      </c>
      <c r="D178" s="125" t="s">
        <v>365</v>
      </c>
      <c r="G178" s="61">
        <v>1174</v>
      </c>
      <c r="H178" s="61">
        <f t="shared" si="19"/>
        <v>-493</v>
      </c>
      <c r="I178" s="62">
        <f t="shared" si="18"/>
        <v>-0.29574085182963405</v>
      </c>
      <c r="K178" s="61">
        <v>939.2</v>
      </c>
      <c r="L178" s="61">
        <f t="shared" si="20"/>
        <v>-727.8</v>
      </c>
      <c r="M178" s="62">
        <f t="shared" si="21"/>
        <v>-0.43659268146370722</v>
      </c>
      <c r="O178" s="61">
        <v>880.5</v>
      </c>
      <c r="P178" s="61">
        <f t="shared" si="22"/>
        <v>-786.5</v>
      </c>
      <c r="Q178" s="62">
        <f t="shared" si="23"/>
        <v>-0.47180563887222554</v>
      </c>
      <c r="S178" s="60">
        <v>12945</v>
      </c>
      <c r="T178" s="50">
        <v>15628</v>
      </c>
    </row>
    <row r="179" spans="1:20">
      <c r="A179" s="67">
        <v>142</v>
      </c>
      <c r="B179" s="74" t="s">
        <v>161</v>
      </c>
      <c r="C179" s="60">
        <v>8090</v>
      </c>
      <c r="D179" s="125" t="s">
        <v>365</v>
      </c>
      <c r="G179" s="61">
        <v>7731</v>
      </c>
      <c r="H179" s="61">
        <f t="shared" si="19"/>
        <v>-359</v>
      </c>
      <c r="I179" s="62">
        <f t="shared" si="18"/>
        <v>-4.4375772558714464E-2</v>
      </c>
      <c r="K179" s="61">
        <v>6184.8</v>
      </c>
      <c r="L179" s="61">
        <f t="shared" si="20"/>
        <v>-1905.1999999999998</v>
      </c>
      <c r="M179" s="62">
        <f t="shared" si="21"/>
        <v>-0.23550061804697156</v>
      </c>
      <c r="O179" s="61">
        <v>5798.25</v>
      </c>
      <c r="P179" s="61">
        <f t="shared" si="22"/>
        <v>-2291.75</v>
      </c>
      <c r="Q179" s="62">
        <f t="shared" si="23"/>
        <v>-0.28328182941903585</v>
      </c>
      <c r="S179" s="60">
        <v>22972</v>
      </c>
      <c r="T179" s="50">
        <v>22405</v>
      </c>
    </row>
    <row r="180" spans="1:20">
      <c r="A180" s="67">
        <v>143</v>
      </c>
      <c r="B180" s="74" t="s">
        <v>162</v>
      </c>
      <c r="C180" s="60">
        <v>8090</v>
      </c>
      <c r="D180" s="125" t="s">
        <v>365</v>
      </c>
      <c r="G180" s="61">
        <v>7731</v>
      </c>
      <c r="H180" s="61">
        <f t="shared" si="19"/>
        <v>-359</v>
      </c>
      <c r="I180" s="62">
        <f t="shared" si="18"/>
        <v>-4.4375772558714464E-2</v>
      </c>
      <c r="K180" s="61">
        <v>6184.8</v>
      </c>
      <c r="L180" s="61">
        <f t="shared" si="20"/>
        <v>-1905.1999999999998</v>
      </c>
      <c r="M180" s="62">
        <f t="shared" si="21"/>
        <v>-0.23550061804697156</v>
      </c>
      <c r="O180" s="61">
        <v>5798.25</v>
      </c>
      <c r="P180" s="61">
        <f t="shared" si="22"/>
        <v>-2291.75</v>
      </c>
      <c r="Q180" s="62">
        <f t="shared" si="23"/>
        <v>-0.28328182941903585</v>
      </c>
      <c r="S180" s="60">
        <v>20536</v>
      </c>
      <c r="T180" s="50">
        <v>22152</v>
      </c>
    </row>
    <row r="181" spans="1:20">
      <c r="A181" s="67">
        <v>144</v>
      </c>
      <c r="B181" s="74" t="s">
        <v>163</v>
      </c>
      <c r="C181" s="60">
        <v>8518</v>
      </c>
      <c r="D181" s="125" t="s">
        <v>365</v>
      </c>
      <c r="G181" s="61">
        <v>9042</v>
      </c>
      <c r="H181" s="61">
        <f t="shared" si="19"/>
        <v>524</v>
      </c>
      <c r="I181" s="62">
        <f t="shared" si="18"/>
        <v>6.1516787978398685E-2</v>
      </c>
      <c r="K181" s="61">
        <v>7233.6</v>
      </c>
      <c r="L181" s="61">
        <f t="shared" si="20"/>
        <v>-1284.3999999999996</v>
      </c>
      <c r="M181" s="62">
        <f t="shared" si="21"/>
        <v>-0.15078656961728101</v>
      </c>
      <c r="O181" s="61">
        <v>6781.5</v>
      </c>
      <c r="P181" s="61">
        <f t="shared" si="22"/>
        <v>-1736.5</v>
      </c>
      <c r="Q181" s="62">
        <f t="shared" si="23"/>
        <v>-0.20386240901620098</v>
      </c>
      <c r="S181" s="60">
        <v>16515</v>
      </c>
      <c r="T181" s="50">
        <v>20511</v>
      </c>
    </row>
    <row r="182" spans="1:20">
      <c r="A182" s="67">
        <v>145</v>
      </c>
      <c r="B182" s="74" t="s">
        <v>164</v>
      </c>
      <c r="C182" s="60">
        <v>8518</v>
      </c>
      <c r="D182" s="125" t="s">
        <v>365</v>
      </c>
      <c r="G182" s="61">
        <v>10292</v>
      </c>
      <c r="H182" s="61">
        <f t="shared" si="19"/>
        <v>1774</v>
      </c>
      <c r="I182" s="62">
        <f t="shared" si="18"/>
        <v>0.20826485090396807</v>
      </c>
      <c r="K182" s="61">
        <v>8233.6</v>
      </c>
      <c r="L182" s="61">
        <f t="shared" si="20"/>
        <v>-284.39999999999964</v>
      </c>
      <c r="M182" s="62">
        <f t="shared" si="21"/>
        <v>-3.3388119276825501E-2</v>
      </c>
      <c r="O182" s="61">
        <v>7719</v>
      </c>
      <c r="P182" s="61">
        <f t="shared" si="22"/>
        <v>-799</v>
      </c>
      <c r="Q182" s="62">
        <f t="shared" si="23"/>
        <v>-9.3801361822023949E-2</v>
      </c>
      <c r="S182" s="60">
        <v>4011</v>
      </c>
      <c r="T182" s="50">
        <v>3361</v>
      </c>
    </row>
    <row r="183" spans="1:20">
      <c r="A183" s="67">
        <v>146</v>
      </c>
      <c r="B183" s="74" t="s">
        <v>165</v>
      </c>
      <c r="C183" s="60">
        <v>14875</v>
      </c>
      <c r="D183" s="125" t="s">
        <v>365</v>
      </c>
      <c r="G183" s="61">
        <v>14219</v>
      </c>
      <c r="H183" s="61">
        <f t="shared" si="19"/>
        <v>-656</v>
      </c>
      <c r="I183" s="62">
        <f t="shared" si="18"/>
        <v>-4.4100840336134456E-2</v>
      </c>
      <c r="K183" s="61">
        <v>11375.2</v>
      </c>
      <c r="L183" s="61">
        <f t="shared" si="20"/>
        <v>-3499.7999999999993</v>
      </c>
      <c r="M183" s="62">
        <f t="shared" si="21"/>
        <v>-0.2352806722689075</v>
      </c>
      <c r="O183" s="61">
        <v>10664.25</v>
      </c>
      <c r="P183" s="61">
        <f t="shared" si="22"/>
        <v>-4210.75</v>
      </c>
      <c r="Q183" s="62">
        <f t="shared" si="23"/>
        <v>-0.28307563025210086</v>
      </c>
      <c r="S183" s="60">
        <v>3455</v>
      </c>
      <c r="T183" s="50">
        <v>4091</v>
      </c>
    </row>
    <row r="184" spans="1:20">
      <c r="A184" s="67">
        <v>147</v>
      </c>
      <c r="B184" s="74" t="s">
        <v>166</v>
      </c>
      <c r="C184" s="60">
        <v>16566</v>
      </c>
      <c r="D184" s="125" t="s">
        <v>365</v>
      </c>
      <c r="G184" s="61">
        <v>12178</v>
      </c>
      <c r="H184" s="61">
        <f t="shared" si="19"/>
        <v>-4388</v>
      </c>
      <c r="I184" s="62">
        <f t="shared" si="18"/>
        <v>-0.26487987444162742</v>
      </c>
      <c r="K184" s="61">
        <v>9742.4</v>
      </c>
      <c r="L184" s="61">
        <f t="shared" si="20"/>
        <v>-6823.6</v>
      </c>
      <c r="M184" s="62">
        <f t="shared" si="21"/>
        <v>-0.41190389955330198</v>
      </c>
      <c r="O184" s="61">
        <v>9133.5</v>
      </c>
      <c r="P184" s="61">
        <f t="shared" si="22"/>
        <v>-7432.5</v>
      </c>
      <c r="Q184" s="62">
        <f t="shared" si="23"/>
        <v>-0.44865990583122056</v>
      </c>
      <c r="S184" s="60">
        <v>3247</v>
      </c>
      <c r="T184" s="50">
        <v>3429</v>
      </c>
    </row>
    <row r="185" spans="1:20">
      <c r="A185" s="67">
        <v>148</v>
      </c>
      <c r="B185" s="74" t="s">
        <v>167</v>
      </c>
      <c r="C185" s="60">
        <v>23503</v>
      </c>
      <c r="D185" s="125" t="s">
        <v>365</v>
      </c>
      <c r="G185" s="61">
        <v>18027</v>
      </c>
      <c r="H185" s="61">
        <f t="shared" si="19"/>
        <v>-5476</v>
      </c>
      <c r="I185" s="62">
        <f t="shared" si="18"/>
        <v>-0.23299153299578776</v>
      </c>
      <c r="K185" s="61">
        <v>14421.6</v>
      </c>
      <c r="L185" s="61">
        <f t="shared" si="20"/>
        <v>-9081.4</v>
      </c>
      <c r="M185" s="62">
        <f t="shared" si="21"/>
        <v>-0.38639322639663021</v>
      </c>
      <c r="O185" s="61">
        <v>13520.25</v>
      </c>
      <c r="P185" s="61">
        <f t="shared" si="22"/>
        <v>-9982.75</v>
      </c>
      <c r="Q185" s="62">
        <f t="shared" si="23"/>
        <v>-0.42474364974684081</v>
      </c>
      <c r="S185" s="60">
        <v>2904</v>
      </c>
      <c r="T185" s="50">
        <v>7854</v>
      </c>
    </row>
    <row r="186" spans="1:20">
      <c r="A186" s="67">
        <v>149</v>
      </c>
      <c r="B186" s="74" t="s">
        <v>168</v>
      </c>
      <c r="C186" s="60">
        <v>25307</v>
      </c>
      <c r="D186" s="125" t="s">
        <v>365</v>
      </c>
      <c r="G186" s="61">
        <v>18027</v>
      </c>
      <c r="H186" s="61">
        <f t="shared" si="19"/>
        <v>-7280</v>
      </c>
      <c r="I186" s="62">
        <f t="shared" si="18"/>
        <v>-0.28766744379025566</v>
      </c>
      <c r="K186" s="61">
        <v>14421.6</v>
      </c>
      <c r="L186" s="61">
        <f t="shared" si="20"/>
        <v>-10885.4</v>
      </c>
      <c r="M186" s="62">
        <f t="shared" si="21"/>
        <v>-0.43013395503220453</v>
      </c>
      <c r="O186" s="61">
        <v>13520.25</v>
      </c>
      <c r="P186" s="61">
        <f t="shared" si="22"/>
        <v>-11786.75</v>
      </c>
      <c r="Q186" s="62">
        <f t="shared" si="23"/>
        <v>-0.46575058284269172</v>
      </c>
      <c r="S186" s="60">
        <v>2947</v>
      </c>
      <c r="T186" s="50">
        <v>5712</v>
      </c>
    </row>
    <row r="187" spans="1:20">
      <c r="A187" s="67">
        <v>150</v>
      </c>
      <c r="B187" s="74" t="s">
        <v>169</v>
      </c>
      <c r="C187" s="60">
        <v>3775</v>
      </c>
      <c r="D187" s="125" t="s">
        <v>365</v>
      </c>
      <c r="G187" s="61">
        <v>4550</v>
      </c>
      <c r="H187" s="61">
        <f t="shared" si="19"/>
        <v>775</v>
      </c>
      <c r="I187" s="62">
        <f t="shared" si="18"/>
        <v>0.20529801324503311</v>
      </c>
      <c r="K187" s="61">
        <v>3640</v>
      </c>
      <c r="L187" s="61">
        <f t="shared" si="20"/>
        <v>-135</v>
      </c>
      <c r="M187" s="62">
        <f t="shared" si="21"/>
        <v>-3.5761589403973511E-2</v>
      </c>
      <c r="O187" s="61">
        <v>3412.5</v>
      </c>
      <c r="P187" s="61">
        <f t="shared" si="22"/>
        <v>-362.5</v>
      </c>
      <c r="Q187" s="62">
        <f t="shared" si="23"/>
        <v>-9.602649006622517E-2</v>
      </c>
      <c r="S187" s="60">
        <v>3689</v>
      </c>
      <c r="T187" s="50">
        <v>7140</v>
      </c>
    </row>
    <row r="188" spans="1:20">
      <c r="A188" s="67">
        <v>151</v>
      </c>
      <c r="B188" s="74" t="s">
        <v>170</v>
      </c>
      <c r="C188" s="60">
        <v>4340</v>
      </c>
      <c r="D188" s="125" t="s">
        <v>365</v>
      </c>
      <c r="G188" s="61">
        <v>5310</v>
      </c>
      <c r="H188" s="61">
        <f t="shared" si="19"/>
        <v>970</v>
      </c>
      <c r="I188" s="62">
        <f t="shared" si="18"/>
        <v>0.22350230414746544</v>
      </c>
      <c r="K188" s="61">
        <v>4248</v>
      </c>
      <c r="L188" s="61">
        <f t="shared" si="20"/>
        <v>-92</v>
      </c>
      <c r="M188" s="62">
        <f t="shared" si="21"/>
        <v>-2.1198156682027649E-2</v>
      </c>
      <c r="O188" s="61">
        <v>3982.5</v>
      </c>
      <c r="P188" s="61">
        <f t="shared" si="22"/>
        <v>-357.5</v>
      </c>
      <c r="Q188" s="62">
        <f t="shared" si="23"/>
        <v>-8.2373271889400926E-2</v>
      </c>
      <c r="S188" s="60">
        <v>5091</v>
      </c>
      <c r="T188" s="50">
        <v>8925</v>
      </c>
    </row>
    <row r="189" spans="1:20">
      <c r="A189" s="67">
        <v>152</v>
      </c>
      <c r="B189" s="74" t="s">
        <v>171</v>
      </c>
      <c r="C189" s="60">
        <v>14370</v>
      </c>
      <c r="D189" s="125" t="s">
        <v>365</v>
      </c>
      <c r="G189" s="61">
        <v>1753</v>
      </c>
      <c r="H189" s="61">
        <f t="shared" si="19"/>
        <v>-12617</v>
      </c>
      <c r="I189" s="62">
        <f t="shared" si="18"/>
        <v>-0.8780097425191371</v>
      </c>
      <c r="K189" s="61">
        <v>1402.4</v>
      </c>
      <c r="L189" s="61">
        <f t="shared" si="20"/>
        <v>-12967.6</v>
      </c>
      <c r="M189" s="62">
        <f t="shared" si="21"/>
        <v>-0.90240779401530968</v>
      </c>
      <c r="O189" s="61">
        <v>1314.75</v>
      </c>
      <c r="P189" s="61">
        <f t="shared" si="22"/>
        <v>-13055.25</v>
      </c>
      <c r="Q189" s="62">
        <f t="shared" si="23"/>
        <v>-0.90850730688935277</v>
      </c>
      <c r="S189" s="60">
        <v>952</v>
      </c>
      <c r="T189" s="50">
        <v>9568</v>
      </c>
    </row>
    <row r="190" spans="1:20">
      <c r="A190" s="67">
        <v>153</v>
      </c>
      <c r="B190" s="74" t="s">
        <v>172</v>
      </c>
      <c r="C190" s="60">
        <v>15964</v>
      </c>
      <c r="D190" s="125" t="s">
        <v>365</v>
      </c>
      <c r="G190" s="61">
        <v>8484</v>
      </c>
      <c r="H190" s="61">
        <f t="shared" si="19"/>
        <v>-7480</v>
      </c>
      <c r="I190" s="62">
        <f t="shared" si="18"/>
        <v>-0.46855424705587573</v>
      </c>
      <c r="K190" s="61">
        <v>6787.2</v>
      </c>
      <c r="L190" s="61">
        <f t="shared" si="20"/>
        <v>-9176.7999999999993</v>
      </c>
      <c r="M190" s="62">
        <f t="shared" si="21"/>
        <v>-0.57484339764470049</v>
      </c>
      <c r="O190" s="61">
        <v>6363</v>
      </c>
      <c r="P190" s="61">
        <f t="shared" si="22"/>
        <v>-9601</v>
      </c>
      <c r="Q190" s="62">
        <f t="shared" si="23"/>
        <v>-0.60141568529190681</v>
      </c>
      <c r="S190" s="60">
        <v>2947</v>
      </c>
      <c r="T190" s="50">
        <v>3350</v>
      </c>
    </row>
    <row r="191" spans="1:20">
      <c r="A191" s="67">
        <v>154</v>
      </c>
      <c r="B191" s="74" t="s">
        <v>173</v>
      </c>
      <c r="C191" s="60">
        <v>3246</v>
      </c>
      <c r="D191" s="125" t="s">
        <v>365</v>
      </c>
      <c r="G191" s="61">
        <v>2543</v>
      </c>
      <c r="H191" s="61">
        <f t="shared" si="19"/>
        <v>-703</v>
      </c>
      <c r="I191" s="62">
        <f t="shared" si="18"/>
        <v>-0.21657424522489219</v>
      </c>
      <c r="K191" s="61">
        <v>2034.4</v>
      </c>
      <c r="L191" s="61">
        <f t="shared" si="20"/>
        <v>-1211.5999999999999</v>
      </c>
      <c r="M191" s="62">
        <f t="shared" si="21"/>
        <v>-0.37325939617991372</v>
      </c>
      <c r="O191" s="61">
        <v>1907.25</v>
      </c>
      <c r="P191" s="61">
        <f t="shared" si="22"/>
        <v>-1338.75</v>
      </c>
      <c r="Q191" s="62">
        <f t="shared" si="23"/>
        <v>-0.41243068391866911</v>
      </c>
      <c r="S191" s="60">
        <v>1200</v>
      </c>
      <c r="T191" s="50">
        <v>1267</v>
      </c>
    </row>
    <row r="192" spans="1:20">
      <c r="A192" s="67">
        <v>155</v>
      </c>
      <c r="B192" s="74" t="s">
        <v>174</v>
      </c>
      <c r="C192" s="60">
        <v>4284</v>
      </c>
      <c r="D192" s="125" t="s">
        <v>365</v>
      </c>
      <c r="G192" s="61">
        <v>4283</v>
      </c>
      <c r="H192" s="61">
        <f t="shared" si="19"/>
        <v>-1</v>
      </c>
      <c r="I192" s="62">
        <f t="shared" si="18"/>
        <v>-2.3342670401493932E-4</v>
      </c>
      <c r="K192" s="61">
        <v>3426.4</v>
      </c>
      <c r="L192" s="61">
        <f t="shared" si="20"/>
        <v>-857.59999999999991</v>
      </c>
      <c r="M192" s="62">
        <f t="shared" si="21"/>
        <v>-0.20018674136321193</v>
      </c>
      <c r="O192" s="61">
        <v>3212.25</v>
      </c>
      <c r="P192" s="61">
        <f t="shared" si="22"/>
        <v>-1071.75</v>
      </c>
      <c r="Q192" s="62">
        <f t="shared" si="23"/>
        <v>-0.2501750700280112</v>
      </c>
      <c r="S192" s="60">
        <v>1200</v>
      </c>
    </row>
    <row r="193" spans="1:19">
      <c r="A193" s="67">
        <v>156</v>
      </c>
      <c r="B193" s="74" t="s">
        <v>175</v>
      </c>
      <c r="C193" s="60">
        <v>5593</v>
      </c>
      <c r="D193" s="125" t="s">
        <v>365</v>
      </c>
      <c r="G193" s="61">
        <v>4888</v>
      </c>
      <c r="H193" s="61">
        <f t="shared" si="19"/>
        <v>-705</v>
      </c>
      <c r="I193" s="62">
        <f t="shared" si="18"/>
        <v>-0.12605042016806722</v>
      </c>
      <c r="K193" s="61">
        <v>3910.4</v>
      </c>
      <c r="L193" s="61">
        <f t="shared" si="20"/>
        <v>-1682.6</v>
      </c>
      <c r="M193" s="62">
        <f t="shared" si="21"/>
        <v>-0.30084033613445377</v>
      </c>
      <c r="O193" s="61">
        <v>3666</v>
      </c>
      <c r="P193" s="61">
        <f t="shared" si="22"/>
        <v>-1927</v>
      </c>
      <c r="Q193" s="62">
        <f t="shared" si="23"/>
        <v>-0.34453781512605042</v>
      </c>
      <c r="S193" s="60">
        <v>952</v>
      </c>
    </row>
    <row r="194" spans="1:19">
      <c r="A194" s="67">
        <v>157</v>
      </c>
      <c r="B194" s="74" t="s">
        <v>176</v>
      </c>
      <c r="C194" s="60">
        <v>7378</v>
      </c>
      <c r="D194" s="125" t="s">
        <v>365</v>
      </c>
      <c r="G194" s="61">
        <v>7289</v>
      </c>
      <c r="H194" s="61">
        <f t="shared" si="19"/>
        <v>-89</v>
      </c>
      <c r="I194" s="62">
        <f t="shared" si="18"/>
        <v>-1.2062889671997831E-2</v>
      </c>
      <c r="K194" s="61">
        <v>5831.2</v>
      </c>
      <c r="L194" s="61">
        <f t="shared" si="20"/>
        <v>-1546.8000000000002</v>
      </c>
      <c r="M194" s="62">
        <f t="shared" si="21"/>
        <v>-0.20965031173759829</v>
      </c>
      <c r="O194" s="61">
        <v>5466.75</v>
      </c>
      <c r="P194" s="61">
        <f t="shared" si="22"/>
        <v>-1911.25</v>
      </c>
      <c r="Q194" s="62">
        <f t="shared" si="23"/>
        <v>-0.2590471672539984</v>
      </c>
      <c r="S194" s="60">
        <v>1190</v>
      </c>
    </row>
    <row r="195" spans="1:19">
      <c r="A195" s="67">
        <v>158</v>
      </c>
      <c r="B195" s="74" t="s">
        <v>177</v>
      </c>
      <c r="C195" s="60">
        <v>8561</v>
      </c>
      <c r="D195" s="125" t="s">
        <v>365</v>
      </c>
      <c r="G195" s="61">
        <v>7448</v>
      </c>
      <c r="H195" s="61">
        <f t="shared" si="19"/>
        <v>-1113</v>
      </c>
      <c r="I195" s="62">
        <f t="shared" si="18"/>
        <v>-0.13000817661488143</v>
      </c>
      <c r="K195" s="61">
        <v>5958.4</v>
      </c>
      <c r="L195" s="61">
        <f t="shared" si="20"/>
        <v>-2602.6000000000004</v>
      </c>
      <c r="M195" s="62">
        <f t="shared" si="21"/>
        <v>-0.30400654129190519</v>
      </c>
      <c r="O195" s="61">
        <v>5586</v>
      </c>
      <c r="P195" s="61">
        <f t="shared" si="22"/>
        <v>-2975</v>
      </c>
      <c r="Q195" s="62">
        <f t="shared" si="23"/>
        <v>-0.34750613246116108</v>
      </c>
      <c r="S195" s="60">
        <v>833</v>
      </c>
    </row>
    <row r="196" spans="1:19">
      <c r="A196" s="67">
        <v>159</v>
      </c>
      <c r="B196" s="74" t="s">
        <v>178</v>
      </c>
      <c r="C196" s="60">
        <v>3699.9955999999997</v>
      </c>
      <c r="D196" s="125" t="s">
        <v>365</v>
      </c>
      <c r="G196" s="61">
        <v>2248</v>
      </c>
      <c r="H196" s="61">
        <f t="shared" si="19"/>
        <v>-1451.9955999999997</v>
      </c>
      <c r="I196" s="62">
        <f t="shared" si="18"/>
        <v>-0.39243170991879012</v>
      </c>
      <c r="K196" s="61">
        <v>1798.4</v>
      </c>
      <c r="L196" s="61">
        <f t="shared" si="20"/>
        <v>-1901.5955999999996</v>
      </c>
      <c r="M196" s="62">
        <f t="shared" si="21"/>
        <v>-0.51394536793503209</v>
      </c>
      <c r="O196" s="61">
        <v>1686</v>
      </c>
      <c r="P196" s="61">
        <f t="shared" si="22"/>
        <v>-2013.9955999999997</v>
      </c>
      <c r="Q196" s="62">
        <f t="shared" si="23"/>
        <v>-0.54432378243909263</v>
      </c>
      <c r="S196" s="60">
        <v>1450</v>
      </c>
    </row>
    <row r="197" spans="1:19">
      <c r="A197" s="67">
        <v>160</v>
      </c>
      <c r="B197" s="74" t="s">
        <v>179</v>
      </c>
      <c r="C197" s="60">
        <v>2197</v>
      </c>
      <c r="D197" s="125" t="s">
        <v>365</v>
      </c>
      <c r="G197" s="61">
        <v>1676</v>
      </c>
      <c r="H197" s="61">
        <f t="shared" si="19"/>
        <v>-521</v>
      </c>
      <c r="I197" s="62">
        <f t="shared" si="18"/>
        <v>-0.2371415566681839</v>
      </c>
      <c r="K197" s="61">
        <v>1340.8</v>
      </c>
      <c r="L197" s="61">
        <f t="shared" si="20"/>
        <v>-856.2</v>
      </c>
      <c r="M197" s="62">
        <f t="shared" si="21"/>
        <v>-0.38971324533454715</v>
      </c>
      <c r="O197" s="61">
        <v>1257</v>
      </c>
      <c r="P197" s="61">
        <f t="shared" si="22"/>
        <v>-940</v>
      </c>
      <c r="Q197" s="62">
        <f t="shared" si="23"/>
        <v>-0.42785616750113792</v>
      </c>
      <c r="S197" s="60">
        <v>900</v>
      </c>
    </row>
    <row r="198" spans="1:19">
      <c r="A198" s="67">
        <v>161</v>
      </c>
      <c r="B198" s="74" t="s">
        <v>180</v>
      </c>
      <c r="C198" s="60">
        <v>2845</v>
      </c>
      <c r="D198" s="125" t="s">
        <v>365</v>
      </c>
      <c r="G198" s="61">
        <v>2262</v>
      </c>
      <c r="H198" s="61">
        <f t="shared" si="19"/>
        <v>-583</v>
      </c>
      <c r="I198" s="62">
        <f t="shared" si="18"/>
        <v>-0.20492091388400702</v>
      </c>
      <c r="K198" s="61">
        <v>1809.6</v>
      </c>
      <c r="L198" s="61">
        <f t="shared" si="20"/>
        <v>-1035.4000000000001</v>
      </c>
      <c r="M198" s="62">
        <f t="shared" si="21"/>
        <v>-0.36393673110720565</v>
      </c>
      <c r="O198" s="61">
        <v>1696.5</v>
      </c>
      <c r="P198" s="61">
        <f t="shared" si="22"/>
        <v>-1148.5</v>
      </c>
      <c r="Q198" s="62">
        <f t="shared" si="23"/>
        <v>-0.40369068541300529</v>
      </c>
      <c r="S198" s="60">
        <v>2000</v>
      </c>
    </row>
    <row r="199" spans="1:19">
      <c r="A199" s="67">
        <v>162</v>
      </c>
      <c r="B199" s="74" t="s">
        <v>181</v>
      </c>
      <c r="C199" s="60">
        <v>3207</v>
      </c>
      <c r="D199" s="125" t="s">
        <v>365</v>
      </c>
      <c r="G199" s="61">
        <v>2262</v>
      </c>
      <c r="H199" s="61">
        <f t="shared" si="19"/>
        <v>-945</v>
      </c>
      <c r="I199" s="62">
        <f t="shared" si="18"/>
        <v>-0.29466791393826003</v>
      </c>
      <c r="K199" s="61">
        <v>1809.6</v>
      </c>
      <c r="L199" s="61">
        <f t="shared" si="20"/>
        <v>-1397.4</v>
      </c>
      <c r="M199" s="62">
        <f t="shared" si="21"/>
        <v>-0.43573433115060806</v>
      </c>
      <c r="O199" s="61">
        <v>1696.5</v>
      </c>
      <c r="P199" s="61">
        <f t="shared" si="22"/>
        <v>-1510.5</v>
      </c>
      <c r="Q199" s="62">
        <f t="shared" si="23"/>
        <v>-0.47100093545369504</v>
      </c>
      <c r="S199" s="60">
        <v>1910</v>
      </c>
    </row>
    <row r="200" spans="1:19">
      <c r="A200" s="67">
        <v>163</v>
      </c>
      <c r="B200" s="74" t="s">
        <v>182</v>
      </c>
      <c r="C200" s="60">
        <v>5690</v>
      </c>
      <c r="D200" s="125" t="s">
        <v>365</v>
      </c>
      <c r="G200" s="61">
        <v>2262</v>
      </c>
      <c r="H200" s="61">
        <f t="shared" si="19"/>
        <v>-3428</v>
      </c>
      <c r="I200" s="62">
        <f t="shared" si="18"/>
        <v>-0.60246045694200356</v>
      </c>
      <c r="K200" s="61">
        <v>1809.6</v>
      </c>
      <c r="L200" s="61">
        <f t="shared" si="20"/>
        <v>-3880.4</v>
      </c>
      <c r="M200" s="62">
        <f t="shared" si="21"/>
        <v>-0.68196836555360285</v>
      </c>
      <c r="O200" s="61">
        <v>1696.5</v>
      </c>
      <c r="P200" s="61">
        <f t="shared" si="22"/>
        <v>-3993.5</v>
      </c>
      <c r="Q200" s="62">
        <f t="shared" si="23"/>
        <v>-0.70184534270650267</v>
      </c>
      <c r="S200" s="60">
        <v>2083</v>
      </c>
    </row>
    <row r="201" spans="1:19">
      <c r="A201" s="67">
        <v>164</v>
      </c>
      <c r="B201" s="74" t="s">
        <v>183</v>
      </c>
      <c r="C201" s="60">
        <v>2380</v>
      </c>
      <c r="D201" s="125" t="s">
        <v>365</v>
      </c>
      <c r="G201" s="61">
        <v>1404</v>
      </c>
      <c r="H201" s="61">
        <f t="shared" si="19"/>
        <v>-976</v>
      </c>
      <c r="I201" s="62">
        <f t="shared" si="18"/>
        <v>-0.41008403361344536</v>
      </c>
      <c r="K201" s="61">
        <v>1123.2</v>
      </c>
      <c r="L201" s="61">
        <f t="shared" si="20"/>
        <v>-1256.8</v>
      </c>
      <c r="M201" s="62">
        <f t="shared" si="21"/>
        <v>-0.52806722689075625</v>
      </c>
      <c r="O201" s="61">
        <v>1053</v>
      </c>
      <c r="P201" s="61">
        <f t="shared" si="22"/>
        <v>-1327</v>
      </c>
      <c r="Q201" s="62">
        <f t="shared" si="23"/>
        <v>-0.55756302521008405</v>
      </c>
      <c r="S201" s="60">
        <v>2083</v>
      </c>
    </row>
    <row r="202" spans="1:19">
      <c r="A202" s="67">
        <v>165</v>
      </c>
      <c r="B202" s="74" t="s">
        <v>184</v>
      </c>
      <c r="C202" s="60">
        <v>8500</v>
      </c>
      <c r="D202" s="125" t="s">
        <v>365</v>
      </c>
      <c r="G202" s="61">
        <v>9625</v>
      </c>
      <c r="H202" s="61">
        <f t="shared" si="19"/>
        <v>1125</v>
      </c>
      <c r="I202" s="62">
        <f t="shared" si="18"/>
        <v>0.13235294117647059</v>
      </c>
      <c r="K202" s="61">
        <v>7700</v>
      </c>
      <c r="L202" s="61">
        <f t="shared" si="20"/>
        <v>-800</v>
      </c>
      <c r="M202" s="62">
        <f t="shared" si="21"/>
        <v>-9.4117647058823528E-2</v>
      </c>
      <c r="O202" s="61">
        <v>7218.75</v>
      </c>
      <c r="P202" s="61">
        <f t="shared" si="22"/>
        <v>-1281.25</v>
      </c>
      <c r="Q202" s="62">
        <f t="shared" si="23"/>
        <v>-0.15073529411764705</v>
      </c>
      <c r="S202" s="60">
        <v>3094</v>
      </c>
    </row>
    <row r="203" spans="1:19">
      <c r="A203" s="67">
        <v>166</v>
      </c>
      <c r="B203" s="74" t="s">
        <v>185</v>
      </c>
      <c r="C203" s="60">
        <v>24999.996000000003</v>
      </c>
      <c r="D203" s="125" t="s">
        <v>365</v>
      </c>
      <c r="G203" s="61">
        <v>14479</v>
      </c>
      <c r="H203" s="61">
        <f t="shared" si="19"/>
        <v>-10520.996000000003</v>
      </c>
      <c r="I203" s="62">
        <f t="shared" si="18"/>
        <v>-0.42083990733438525</v>
      </c>
      <c r="K203" s="61">
        <v>11583.2</v>
      </c>
      <c r="L203" s="61">
        <f t="shared" si="20"/>
        <v>-13416.796000000002</v>
      </c>
      <c r="M203" s="62">
        <f t="shared" si="21"/>
        <v>-0.53667192586750812</v>
      </c>
      <c r="O203" s="61">
        <v>10859.25</v>
      </c>
      <c r="P203" s="61">
        <f t="shared" si="22"/>
        <v>-14140.746000000003</v>
      </c>
      <c r="Q203" s="62">
        <f t="shared" si="23"/>
        <v>-0.56562993050078891</v>
      </c>
      <c r="S203" s="60">
        <v>5899</v>
      </c>
    </row>
    <row r="204" spans="1:19">
      <c r="A204" s="67">
        <v>167</v>
      </c>
      <c r="B204" s="74" t="s">
        <v>186</v>
      </c>
      <c r="C204" s="60">
        <v>3650</v>
      </c>
      <c r="D204" s="125" t="s">
        <v>365</v>
      </c>
      <c r="G204" s="61">
        <v>3870</v>
      </c>
      <c r="H204" s="61">
        <f t="shared" si="19"/>
        <v>220</v>
      </c>
      <c r="I204" s="62">
        <f t="shared" si="18"/>
        <v>6.0273972602739728E-2</v>
      </c>
      <c r="K204" s="61">
        <v>3096</v>
      </c>
      <c r="L204" s="61">
        <f t="shared" si="20"/>
        <v>-554</v>
      </c>
      <c r="M204" s="62">
        <f t="shared" si="21"/>
        <v>-0.15178082191780823</v>
      </c>
      <c r="O204" s="61">
        <v>2902.5</v>
      </c>
      <c r="P204" s="61">
        <f t="shared" si="22"/>
        <v>-747.5</v>
      </c>
      <c r="Q204" s="62">
        <f t="shared" si="23"/>
        <v>-0.2047945205479452</v>
      </c>
      <c r="S204" s="60">
        <v>15500</v>
      </c>
    </row>
    <row r="205" spans="1:19">
      <c r="A205" s="67">
        <v>168</v>
      </c>
      <c r="B205" s="74" t="s">
        <v>187</v>
      </c>
      <c r="C205" s="60">
        <v>33320</v>
      </c>
      <c r="D205" s="125" t="s">
        <v>365</v>
      </c>
      <c r="G205" s="61">
        <v>25952</v>
      </c>
      <c r="H205" s="61">
        <f t="shared" si="19"/>
        <v>-7368</v>
      </c>
      <c r="I205" s="62">
        <f t="shared" si="18"/>
        <v>-0.22112845138055223</v>
      </c>
      <c r="K205" s="61">
        <v>20761.599999999999</v>
      </c>
      <c r="L205" s="61">
        <f t="shared" si="20"/>
        <v>-12558.400000000001</v>
      </c>
      <c r="M205" s="62">
        <f t="shared" si="21"/>
        <v>-0.37690276110444182</v>
      </c>
      <c r="O205" s="61">
        <v>19464</v>
      </c>
      <c r="P205" s="61">
        <f t="shared" si="22"/>
        <v>-13856</v>
      </c>
      <c r="Q205" s="62">
        <f t="shared" si="23"/>
        <v>-0.41584633853541414</v>
      </c>
      <c r="S205" s="60">
        <v>1700</v>
      </c>
    </row>
    <row r="206" spans="1:19">
      <c r="A206" s="67">
        <v>169</v>
      </c>
      <c r="B206" s="74" t="s">
        <v>188</v>
      </c>
      <c r="C206" s="60">
        <v>94240</v>
      </c>
      <c r="D206" s="125" t="s">
        <v>365</v>
      </c>
      <c r="G206" s="61">
        <v>6693</v>
      </c>
      <c r="H206" s="61">
        <f t="shared" si="19"/>
        <v>-87547</v>
      </c>
      <c r="I206" s="62">
        <f t="shared" si="18"/>
        <v>-0.9289792020373514</v>
      </c>
      <c r="K206" s="61">
        <v>5354.4</v>
      </c>
      <c r="L206" s="61">
        <f t="shared" si="20"/>
        <v>-88885.6</v>
      </c>
      <c r="M206" s="62">
        <f t="shared" si="21"/>
        <v>-0.94318336162988126</v>
      </c>
      <c r="O206" s="61">
        <v>5019.75</v>
      </c>
      <c r="P206" s="61">
        <f t="shared" si="22"/>
        <v>-89220.25</v>
      </c>
      <c r="Q206" s="62">
        <f t="shared" si="23"/>
        <v>-0.94673440152801358</v>
      </c>
      <c r="S206" s="60">
        <v>17850</v>
      </c>
    </row>
    <row r="207" spans="1:19">
      <c r="A207" s="67">
        <v>170</v>
      </c>
      <c r="B207" s="74" t="s">
        <v>189</v>
      </c>
      <c r="C207" s="60">
        <v>15107.4</v>
      </c>
      <c r="D207" s="125" t="s">
        <v>365</v>
      </c>
      <c r="G207" s="61">
        <v>12705</v>
      </c>
      <c r="H207" s="61">
        <f t="shared" si="19"/>
        <v>-2402.3999999999996</v>
      </c>
      <c r="I207" s="62">
        <f t="shared" si="18"/>
        <v>-0.15902140672782872</v>
      </c>
      <c r="K207" s="61">
        <v>10164</v>
      </c>
      <c r="L207" s="61">
        <f t="shared" si="20"/>
        <v>-4943.3999999999996</v>
      </c>
      <c r="M207" s="62">
        <f t="shared" si="21"/>
        <v>-0.327217125382263</v>
      </c>
      <c r="O207" s="61">
        <v>9528.75</v>
      </c>
      <c r="P207" s="61">
        <f t="shared" si="22"/>
        <v>-5578.65</v>
      </c>
      <c r="Q207" s="62">
        <f t="shared" si="23"/>
        <v>-0.36926605504587157</v>
      </c>
      <c r="S207" s="60">
        <v>82000</v>
      </c>
    </row>
    <row r="208" spans="1:19">
      <c r="A208" s="67">
        <v>171</v>
      </c>
      <c r="B208" s="74" t="s">
        <v>190</v>
      </c>
      <c r="C208" s="60">
        <v>19786</v>
      </c>
      <c r="D208" s="125" t="s">
        <v>365</v>
      </c>
      <c r="G208" s="61">
        <v>16204</v>
      </c>
      <c r="H208" s="61">
        <f t="shared" si="19"/>
        <v>-3582</v>
      </c>
      <c r="I208" s="62">
        <f t="shared" si="18"/>
        <v>-0.18103709693722833</v>
      </c>
      <c r="K208" s="61">
        <v>12963.2</v>
      </c>
      <c r="L208" s="61">
        <f t="shared" si="20"/>
        <v>-6822.7999999999993</v>
      </c>
      <c r="M208" s="62">
        <f t="shared" si="21"/>
        <v>-0.34482967754978266</v>
      </c>
      <c r="O208" s="61">
        <v>12153</v>
      </c>
      <c r="P208" s="61">
        <f t="shared" si="22"/>
        <v>-7633</v>
      </c>
      <c r="Q208" s="62">
        <f t="shared" si="23"/>
        <v>-0.38577782270292127</v>
      </c>
      <c r="S208" s="60">
        <v>4522</v>
      </c>
    </row>
    <row r="209" spans="1:20">
      <c r="A209" s="67">
        <v>172</v>
      </c>
      <c r="B209" s="74" t="s">
        <v>191</v>
      </c>
      <c r="C209" s="60">
        <v>37209.9</v>
      </c>
      <c r="D209" s="125" t="s">
        <v>365</v>
      </c>
      <c r="G209" s="61">
        <v>3394</v>
      </c>
      <c r="H209" s="61">
        <f t="shared" si="19"/>
        <v>-33815.9</v>
      </c>
      <c r="I209" s="62">
        <f t="shared" si="18"/>
        <v>-0.90878771509732625</v>
      </c>
      <c r="K209" s="61">
        <v>2715.2</v>
      </c>
      <c r="L209" s="61">
        <f t="shared" si="20"/>
        <v>-34494.700000000004</v>
      </c>
      <c r="M209" s="62">
        <f t="shared" si="21"/>
        <v>-0.92703017207786109</v>
      </c>
      <c r="O209" s="61">
        <v>2545.5</v>
      </c>
      <c r="P209" s="61">
        <f t="shared" si="22"/>
        <v>-34664.400000000001</v>
      </c>
      <c r="Q209" s="62">
        <f t="shared" si="23"/>
        <v>-0.93159078632299464</v>
      </c>
      <c r="S209" s="60">
        <v>5719</v>
      </c>
      <c r="T209" s="50">
        <v>11846</v>
      </c>
    </row>
    <row r="210" spans="1:20">
      <c r="A210" s="67">
        <v>173</v>
      </c>
      <c r="B210" s="74" t="s">
        <v>192</v>
      </c>
      <c r="C210" s="60">
        <v>23399.879999999997</v>
      </c>
      <c r="D210" s="125" t="s">
        <v>365</v>
      </c>
      <c r="G210" s="61">
        <v>22884</v>
      </c>
      <c r="H210" s="61">
        <f t="shared" si="19"/>
        <v>-515.87999999999738</v>
      </c>
      <c r="I210" s="62">
        <f t="shared" si="18"/>
        <v>-2.2046266903932733E-2</v>
      </c>
      <c r="K210" s="61">
        <v>18307.2</v>
      </c>
      <c r="L210" s="61">
        <f t="shared" si="20"/>
        <v>-5092.6799999999967</v>
      </c>
      <c r="M210" s="62">
        <f t="shared" si="21"/>
        <v>-0.21763701352314616</v>
      </c>
      <c r="O210" s="61">
        <v>17163</v>
      </c>
      <c r="P210" s="61">
        <f t="shared" si="22"/>
        <v>-6236.8799999999974</v>
      </c>
      <c r="Q210" s="62">
        <f t="shared" si="23"/>
        <v>-0.26653470017794956</v>
      </c>
      <c r="S210" s="60">
        <v>10557</v>
      </c>
      <c r="T210" s="50">
        <v>19774</v>
      </c>
    </row>
    <row r="211" spans="1:20">
      <c r="A211" s="67">
        <v>174</v>
      </c>
      <c r="B211" s="74" t="s">
        <v>193</v>
      </c>
      <c r="C211" s="60">
        <v>13365</v>
      </c>
      <c r="D211" s="125" t="s">
        <v>365</v>
      </c>
      <c r="G211" s="61">
        <v>9391</v>
      </c>
      <c r="H211" s="61">
        <f t="shared" si="19"/>
        <v>-3974</v>
      </c>
      <c r="I211" s="62">
        <f t="shared" si="18"/>
        <v>-0.29734380845491959</v>
      </c>
      <c r="K211" s="61">
        <v>7512.8</v>
      </c>
      <c r="L211" s="61">
        <f t="shared" si="20"/>
        <v>-5852.2</v>
      </c>
      <c r="M211" s="62">
        <f t="shared" si="21"/>
        <v>-0.43787504676393563</v>
      </c>
      <c r="O211" s="61">
        <v>7043.25</v>
      </c>
      <c r="P211" s="61">
        <f t="shared" si="22"/>
        <v>-6321.75</v>
      </c>
      <c r="Q211" s="62">
        <f t="shared" si="23"/>
        <v>-0.47300785634118969</v>
      </c>
      <c r="S211" s="60">
        <v>10092</v>
      </c>
      <c r="T211" s="50">
        <v>27781</v>
      </c>
    </row>
    <row r="212" spans="1:20">
      <c r="A212" s="67">
        <v>175</v>
      </c>
      <c r="B212" s="74" t="s">
        <v>194</v>
      </c>
      <c r="C212" s="60">
        <v>5723</v>
      </c>
      <c r="D212" s="125" t="s">
        <v>365</v>
      </c>
      <c r="G212" s="61">
        <v>6237</v>
      </c>
      <c r="H212" s="61">
        <f t="shared" si="19"/>
        <v>514</v>
      </c>
      <c r="I212" s="62">
        <f t="shared" si="18"/>
        <v>8.9813035121439802E-2</v>
      </c>
      <c r="K212" s="61">
        <v>4989.6000000000004</v>
      </c>
      <c r="L212" s="61">
        <f t="shared" si="20"/>
        <v>-733.39999999999964</v>
      </c>
      <c r="M212" s="62">
        <f t="shared" si="21"/>
        <v>-0.12814957190284809</v>
      </c>
      <c r="O212" s="61">
        <v>4677.75</v>
      </c>
      <c r="P212" s="61">
        <f t="shared" si="22"/>
        <v>-1045.25</v>
      </c>
      <c r="Q212" s="62">
        <f t="shared" si="23"/>
        <v>-0.18264022365892016</v>
      </c>
      <c r="S212" s="60">
        <v>8668</v>
      </c>
      <c r="T212" s="50">
        <v>9801</v>
      </c>
    </row>
    <row r="213" spans="1:20">
      <c r="A213" s="67">
        <v>176</v>
      </c>
      <c r="B213" s="74" t="s">
        <v>195</v>
      </c>
      <c r="C213" s="60">
        <v>4795.0034999999998</v>
      </c>
      <c r="D213" s="125" t="s">
        <v>365</v>
      </c>
      <c r="G213" s="61">
        <v>2734</v>
      </c>
      <c r="H213" s="61">
        <f t="shared" si="19"/>
        <v>-2061.0034999999998</v>
      </c>
      <c r="I213" s="62">
        <f t="shared" si="18"/>
        <v>-0.42982314819999606</v>
      </c>
      <c r="K213" s="61">
        <v>2187.1999999999998</v>
      </c>
      <c r="L213" s="61">
        <f t="shared" si="20"/>
        <v>-2607.8035</v>
      </c>
      <c r="M213" s="62">
        <f t="shared" si="21"/>
        <v>-0.5438585185599969</v>
      </c>
      <c r="O213" s="61">
        <v>2050.5</v>
      </c>
      <c r="P213" s="61">
        <f t="shared" si="22"/>
        <v>-2744.5034999999998</v>
      </c>
      <c r="Q213" s="62">
        <f t="shared" si="23"/>
        <v>-0.57236736114999709</v>
      </c>
      <c r="S213" s="60">
        <v>3665</v>
      </c>
      <c r="T213" s="50">
        <v>5434</v>
      </c>
    </row>
    <row r="214" spans="1:20">
      <c r="A214" s="67">
        <v>177</v>
      </c>
      <c r="B214" s="74" t="s">
        <v>196</v>
      </c>
      <c r="C214" s="60">
        <v>2275</v>
      </c>
      <c r="D214" s="125" t="s">
        <v>365</v>
      </c>
      <c r="G214" s="61">
        <v>2089</v>
      </c>
      <c r="H214" s="61">
        <f t="shared" si="19"/>
        <v>-186</v>
      </c>
      <c r="I214" s="62">
        <f t="shared" si="18"/>
        <v>-8.1758241758241756E-2</v>
      </c>
      <c r="K214" s="61">
        <v>1671.2</v>
      </c>
      <c r="L214" s="61">
        <f t="shared" si="20"/>
        <v>-603.79999999999995</v>
      </c>
      <c r="M214" s="62">
        <f t="shared" si="21"/>
        <v>-0.26540659340659339</v>
      </c>
      <c r="O214" s="61">
        <v>1566.75</v>
      </c>
      <c r="P214" s="61">
        <f t="shared" si="22"/>
        <v>-708.25</v>
      </c>
      <c r="Q214" s="62">
        <f t="shared" si="23"/>
        <v>-0.31131868131868135</v>
      </c>
      <c r="S214" s="60">
        <v>1150</v>
      </c>
      <c r="T214" s="50">
        <v>2139</v>
      </c>
    </row>
    <row r="215" spans="1:20">
      <c r="A215" s="67">
        <v>178</v>
      </c>
      <c r="B215" s="74" t="s">
        <v>197</v>
      </c>
      <c r="C215" s="60">
        <v>2197</v>
      </c>
      <c r="D215" s="125" t="s">
        <v>365</v>
      </c>
      <c r="G215" s="61">
        <v>2089</v>
      </c>
      <c r="H215" s="61">
        <f t="shared" si="19"/>
        <v>-108</v>
      </c>
      <c r="I215" s="62">
        <f t="shared" si="18"/>
        <v>-4.9157942649066907E-2</v>
      </c>
      <c r="K215" s="61">
        <v>1671.2</v>
      </c>
      <c r="L215" s="61">
        <f t="shared" si="20"/>
        <v>-525.79999999999995</v>
      </c>
      <c r="M215" s="62">
        <f t="shared" si="21"/>
        <v>-0.23932635411925351</v>
      </c>
      <c r="O215" s="61">
        <v>1566.75</v>
      </c>
      <c r="P215" s="61">
        <f t="shared" si="22"/>
        <v>-630.25</v>
      </c>
      <c r="Q215" s="62">
        <f t="shared" si="23"/>
        <v>-0.28686845698680019</v>
      </c>
      <c r="S215" s="60">
        <v>1171</v>
      </c>
      <c r="T215" s="50">
        <v>2139</v>
      </c>
    </row>
    <row r="216" spans="1:20">
      <c r="A216" s="67">
        <v>179</v>
      </c>
      <c r="B216" s="74" t="s">
        <v>198</v>
      </c>
      <c r="C216" s="60">
        <v>3801</v>
      </c>
      <c r="D216" s="125" t="s">
        <v>365</v>
      </c>
      <c r="G216" s="61">
        <v>7761</v>
      </c>
      <c r="H216" s="61">
        <f t="shared" si="19"/>
        <v>3960</v>
      </c>
      <c r="I216" s="62">
        <f t="shared" si="18"/>
        <v>1.0418310970797158</v>
      </c>
      <c r="K216" s="61">
        <v>6208.8</v>
      </c>
      <c r="L216" s="61">
        <f t="shared" si="20"/>
        <v>2407.8000000000002</v>
      </c>
      <c r="M216" s="62">
        <f t="shared" si="21"/>
        <v>0.63346487766377269</v>
      </c>
      <c r="O216" s="61">
        <v>5820.75</v>
      </c>
      <c r="P216" s="61">
        <f t="shared" si="22"/>
        <v>2019.75</v>
      </c>
      <c r="Q216" s="62">
        <f t="shared" si="23"/>
        <v>0.53137332280978689</v>
      </c>
      <c r="S216" s="60">
        <v>14247</v>
      </c>
      <c r="T216" s="50">
        <v>29444</v>
      </c>
    </row>
    <row r="217" spans="1:20">
      <c r="A217" s="67">
        <v>180</v>
      </c>
      <c r="B217" s="74" t="s">
        <v>199</v>
      </c>
      <c r="C217" s="60">
        <v>5891</v>
      </c>
      <c r="D217" s="125" t="s">
        <v>365</v>
      </c>
      <c r="G217" s="61">
        <v>4276</v>
      </c>
      <c r="H217" s="61">
        <f t="shared" si="19"/>
        <v>-1615</v>
      </c>
      <c r="I217" s="62">
        <f t="shared" si="18"/>
        <v>-0.27414700390426072</v>
      </c>
      <c r="K217" s="61">
        <v>3420.8</v>
      </c>
      <c r="L217" s="61">
        <f t="shared" si="20"/>
        <v>-2470.1999999999998</v>
      </c>
      <c r="M217" s="62">
        <f t="shared" si="21"/>
        <v>-0.41931760312340854</v>
      </c>
      <c r="O217" s="61">
        <v>3207</v>
      </c>
      <c r="P217" s="61">
        <f t="shared" si="22"/>
        <v>-2684</v>
      </c>
      <c r="Q217" s="62">
        <f t="shared" si="23"/>
        <v>-0.45561025292819557</v>
      </c>
      <c r="S217" s="60">
        <v>5693</v>
      </c>
      <c r="T217" s="50">
        <v>4296</v>
      </c>
    </row>
    <row r="218" spans="1:20">
      <c r="A218" s="67">
        <v>181</v>
      </c>
      <c r="B218" s="74" t="s">
        <v>200</v>
      </c>
      <c r="C218" s="60">
        <v>1946</v>
      </c>
      <c r="D218" s="125" t="s">
        <v>365</v>
      </c>
      <c r="G218" s="61">
        <v>641</v>
      </c>
      <c r="H218" s="61">
        <f t="shared" si="19"/>
        <v>-1305</v>
      </c>
      <c r="I218" s="62">
        <f t="shared" si="18"/>
        <v>-0.670606372045221</v>
      </c>
      <c r="K218" s="61">
        <v>512.79999999999995</v>
      </c>
      <c r="L218" s="61">
        <f t="shared" si="20"/>
        <v>-1433.2</v>
      </c>
      <c r="M218" s="62">
        <f t="shared" si="21"/>
        <v>-0.73648509763617676</v>
      </c>
      <c r="O218" s="61">
        <v>480.75</v>
      </c>
      <c r="P218" s="61">
        <f t="shared" si="22"/>
        <v>-1465.25</v>
      </c>
      <c r="Q218" s="62">
        <f t="shared" si="23"/>
        <v>-0.75295477903391572</v>
      </c>
      <c r="S218" s="60">
        <v>600</v>
      </c>
    </row>
    <row r="219" spans="1:20">
      <c r="A219" s="67">
        <v>182</v>
      </c>
      <c r="B219" s="74" t="s">
        <v>201</v>
      </c>
      <c r="C219" s="60">
        <v>2380</v>
      </c>
      <c r="D219" s="125" t="s">
        <v>365</v>
      </c>
      <c r="G219" s="61">
        <v>1182</v>
      </c>
      <c r="H219" s="61">
        <f t="shared" si="19"/>
        <v>-1198</v>
      </c>
      <c r="I219" s="62">
        <f t="shared" si="18"/>
        <v>-0.50336134453781511</v>
      </c>
      <c r="K219" s="61">
        <v>945.6</v>
      </c>
      <c r="L219" s="61">
        <f t="shared" si="20"/>
        <v>-1434.4</v>
      </c>
      <c r="M219" s="62">
        <f t="shared" si="21"/>
        <v>-0.60268907563025209</v>
      </c>
      <c r="O219" s="61">
        <v>886.5</v>
      </c>
      <c r="P219" s="61">
        <f t="shared" si="22"/>
        <v>-1493.5</v>
      </c>
      <c r="Q219" s="62">
        <f t="shared" si="23"/>
        <v>-0.62752100840336134</v>
      </c>
      <c r="S219" s="60">
        <v>1168</v>
      </c>
    </row>
    <row r="220" spans="1:20">
      <c r="A220" s="67">
        <v>183</v>
      </c>
      <c r="B220" s="74" t="s">
        <v>202</v>
      </c>
      <c r="C220" s="60">
        <v>1936</v>
      </c>
      <c r="D220" s="125" t="s">
        <v>365</v>
      </c>
      <c r="G220" s="61">
        <v>1234</v>
      </c>
      <c r="H220" s="61">
        <f t="shared" si="19"/>
        <v>-702</v>
      </c>
      <c r="I220" s="62">
        <f t="shared" si="18"/>
        <v>-0.36260330578512395</v>
      </c>
      <c r="K220" s="61">
        <v>987.2</v>
      </c>
      <c r="L220" s="61">
        <f t="shared" si="20"/>
        <v>-948.8</v>
      </c>
      <c r="M220" s="62">
        <f t="shared" si="21"/>
        <v>-0.49008264462809914</v>
      </c>
      <c r="O220" s="61">
        <v>925.5</v>
      </c>
      <c r="P220" s="61">
        <f t="shared" si="22"/>
        <v>-1010.5</v>
      </c>
      <c r="Q220" s="62">
        <f t="shared" si="23"/>
        <v>-0.52195247933884292</v>
      </c>
      <c r="S220" s="60">
        <v>750</v>
      </c>
    </row>
    <row r="221" spans="1:20">
      <c r="A221" s="67">
        <v>184</v>
      </c>
      <c r="B221" s="74" t="s">
        <v>203</v>
      </c>
      <c r="C221" s="60">
        <v>1248</v>
      </c>
      <c r="D221" s="125" t="s">
        <v>365</v>
      </c>
      <c r="G221" s="61">
        <v>1300</v>
      </c>
      <c r="H221" s="61">
        <f t="shared" si="19"/>
        <v>52</v>
      </c>
      <c r="I221" s="62">
        <f t="shared" si="18"/>
        <v>4.1666666666666664E-2</v>
      </c>
      <c r="K221" s="61">
        <v>1040</v>
      </c>
      <c r="L221" s="61">
        <f t="shared" si="20"/>
        <v>-208</v>
      </c>
      <c r="M221" s="62">
        <f t="shared" si="21"/>
        <v>-0.16666666666666666</v>
      </c>
      <c r="O221" s="61">
        <v>975</v>
      </c>
      <c r="P221" s="61">
        <f t="shared" si="22"/>
        <v>-273</v>
      </c>
      <c r="Q221" s="62">
        <f t="shared" si="23"/>
        <v>-0.21875</v>
      </c>
      <c r="S221" s="60">
        <v>693</v>
      </c>
      <c r="T221" s="50">
        <v>910</v>
      </c>
    </row>
    <row r="222" spans="1:20">
      <c r="A222" s="67">
        <v>185</v>
      </c>
      <c r="B222" s="74" t="s">
        <v>204</v>
      </c>
      <c r="C222" s="60">
        <v>3162</v>
      </c>
      <c r="D222" s="125" t="s">
        <v>365</v>
      </c>
      <c r="G222" s="61">
        <v>3225</v>
      </c>
      <c r="H222" s="61">
        <f t="shared" si="19"/>
        <v>63</v>
      </c>
      <c r="I222" s="62">
        <f t="shared" si="18"/>
        <v>1.9924098671726755E-2</v>
      </c>
      <c r="K222" s="61">
        <v>2580</v>
      </c>
      <c r="L222" s="61">
        <f t="shared" si="20"/>
        <v>-582</v>
      </c>
      <c r="M222" s="62">
        <f t="shared" si="21"/>
        <v>-0.18406072106261859</v>
      </c>
      <c r="O222" s="61">
        <v>2418.75</v>
      </c>
      <c r="P222" s="61">
        <f t="shared" si="22"/>
        <v>-743.25</v>
      </c>
      <c r="Q222" s="62">
        <f t="shared" si="23"/>
        <v>-0.23505692599620492</v>
      </c>
      <c r="S222" s="60">
        <v>5490</v>
      </c>
      <c r="T222" s="50">
        <v>6156</v>
      </c>
    </row>
    <row r="223" spans="1:20">
      <c r="A223" s="67">
        <v>186</v>
      </c>
      <c r="B223" s="74" t="s">
        <v>205</v>
      </c>
      <c r="C223" s="60">
        <v>7310</v>
      </c>
      <c r="D223" s="125" t="s">
        <v>365</v>
      </c>
      <c r="G223" s="61">
        <v>8400</v>
      </c>
      <c r="H223" s="61">
        <f t="shared" si="19"/>
        <v>1090</v>
      </c>
      <c r="I223" s="62">
        <f t="shared" si="18"/>
        <v>0.1491108071135431</v>
      </c>
      <c r="K223" s="61">
        <v>6720</v>
      </c>
      <c r="L223" s="61">
        <f t="shared" si="20"/>
        <v>-590</v>
      </c>
      <c r="M223" s="62">
        <f t="shared" si="21"/>
        <v>-8.0711354309165526E-2</v>
      </c>
      <c r="O223" s="61">
        <v>6300</v>
      </c>
      <c r="P223" s="61">
        <f t="shared" si="22"/>
        <v>-1010</v>
      </c>
      <c r="Q223" s="62">
        <f t="shared" si="23"/>
        <v>-0.13816689466484269</v>
      </c>
      <c r="S223" s="60">
        <v>2195</v>
      </c>
      <c r="T223" s="50">
        <v>2749</v>
      </c>
    </row>
    <row r="224" spans="1:20">
      <c r="A224" s="67">
        <v>187</v>
      </c>
      <c r="B224" s="74" t="s">
        <v>206</v>
      </c>
      <c r="C224" s="60">
        <v>3162</v>
      </c>
      <c r="D224" s="125" t="s">
        <v>365</v>
      </c>
      <c r="G224" s="61">
        <v>3225</v>
      </c>
      <c r="H224" s="61">
        <f t="shared" si="19"/>
        <v>63</v>
      </c>
      <c r="I224" s="62">
        <f t="shared" si="18"/>
        <v>1.9924098671726755E-2</v>
      </c>
      <c r="K224" s="61">
        <v>2580</v>
      </c>
      <c r="L224" s="61">
        <f t="shared" si="20"/>
        <v>-582</v>
      </c>
      <c r="M224" s="62">
        <f t="shared" si="21"/>
        <v>-0.18406072106261859</v>
      </c>
      <c r="O224" s="61">
        <v>2418.75</v>
      </c>
      <c r="P224" s="61">
        <f t="shared" si="22"/>
        <v>-743.25</v>
      </c>
      <c r="Q224" s="62">
        <f t="shared" si="23"/>
        <v>-0.23505692599620492</v>
      </c>
      <c r="S224" s="60">
        <v>2341</v>
      </c>
      <c r="T224" s="50">
        <v>2341</v>
      </c>
    </row>
    <row r="225" spans="1:20">
      <c r="A225" s="67">
        <v>188</v>
      </c>
      <c r="B225" s="74" t="s">
        <v>207</v>
      </c>
      <c r="C225" s="60">
        <v>7108</v>
      </c>
      <c r="D225" s="125" t="s">
        <v>365</v>
      </c>
      <c r="G225" s="61">
        <v>3846</v>
      </c>
      <c r="H225" s="61">
        <f t="shared" si="19"/>
        <v>-3262</v>
      </c>
      <c r="I225" s="62">
        <f t="shared" si="18"/>
        <v>-0.45891952729319074</v>
      </c>
      <c r="K225" s="61">
        <v>3076.8</v>
      </c>
      <c r="L225" s="61">
        <f t="shared" si="20"/>
        <v>-4031.2</v>
      </c>
      <c r="M225" s="62">
        <f t="shared" si="21"/>
        <v>-0.56713562183455257</v>
      </c>
      <c r="O225" s="61">
        <v>2884.5</v>
      </c>
      <c r="P225" s="61">
        <f t="shared" si="22"/>
        <v>-4223.5</v>
      </c>
      <c r="Q225" s="62">
        <f t="shared" si="23"/>
        <v>-0.59418964546989306</v>
      </c>
      <c r="S225" s="60">
        <v>4682</v>
      </c>
      <c r="T225" s="50">
        <v>4928</v>
      </c>
    </row>
    <row r="226" spans="1:20">
      <c r="A226" s="67">
        <v>189</v>
      </c>
      <c r="B226" s="74" t="s">
        <v>208</v>
      </c>
      <c r="C226" s="60">
        <v>6230</v>
      </c>
      <c r="D226" s="125" t="s">
        <v>365</v>
      </c>
      <c r="G226" s="61">
        <v>1848</v>
      </c>
      <c r="H226" s="61">
        <f t="shared" si="19"/>
        <v>-4382</v>
      </c>
      <c r="I226" s="62">
        <f t="shared" si="18"/>
        <v>-0.70337078651685392</v>
      </c>
      <c r="K226" s="61">
        <v>1478.4</v>
      </c>
      <c r="L226" s="61">
        <f t="shared" si="20"/>
        <v>-4751.6000000000004</v>
      </c>
      <c r="M226" s="62">
        <f t="shared" si="21"/>
        <v>-0.76269662921348325</v>
      </c>
      <c r="O226" s="61">
        <v>1386</v>
      </c>
      <c r="P226" s="61">
        <f t="shared" si="22"/>
        <v>-4844</v>
      </c>
      <c r="Q226" s="62">
        <f t="shared" si="23"/>
        <v>-0.77752808988764044</v>
      </c>
      <c r="S226" s="60">
        <v>600</v>
      </c>
      <c r="T226" s="50">
        <v>471</v>
      </c>
    </row>
    <row r="227" spans="1:20">
      <c r="A227" s="67">
        <v>190</v>
      </c>
      <c r="B227" s="74" t="s">
        <v>209</v>
      </c>
      <c r="C227" s="60">
        <v>495</v>
      </c>
      <c r="D227" s="125" t="s">
        <v>365</v>
      </c>
      <c r="G227" s="61">
        <v>448</v>
      </c>
      <c r="H227" s="61">
        <f t="shared" si="19"/>
        <v>-47</v>
      </c>
      <c r="I227" s="62">
        <f t="shared" si="18"/>
        <v>-9.494949494949495E-2</v>
      </c>
      <c r="K227" s="61">
        <v>358.4</v>
      </c>
      <c r="L227" s="61">
        <f t="shared" si="20"/>
        <v>-136.60000000000002</v>
      </c>
      <c r="M227" s="62">
        <f t="shared" si="21"/>
        <v>-0.27595959595959602</v>
      </c>
      <c r="O227" s="61">
        <v>336</v>
      </c>
      <c r="P227" s="61">
        <f t="shared" si="22"/>
        <v>-159</v>
      </c>
      <c r="Q227" s="62">
        <f t="shared" si="23"/>
        <v>-0.32121212121212123</v>
      </c>
      <c r="S227" s="60">
        <v>1254</v>
      </c>
      <c r="T227" s="50">
        <v>1098</v>
      </c>
    </row>
    <row r="228" spans="1:20">
      <c r="A228" s="67">
        <v>191</v>
      </c>
      <c r="B228" s="74" t="s">
        <v>210</v>
      </c>
      <c r="C228" s="60">
        <v>1098</v>
      </c>
      <c r="D228" s="125" t="s">
        <v>365</v>
      </c>
      <c r="G228" s="61">
        <v>1044</v>
      </c>
      <c r="H228" s="61">
        <f t="shared" si="19"/>
        <v>-54</v>
      </c>
      <c r="I228" s="62">
        <f t="shared" si="18"/>
        <v>-4.9180327868852458E-2</v>
      </c>
      <c r="K228" s="61">
        <v>835.2</v>
      </c>
      <c r="L228" s="61">
        <f t="shared" si="20"/>
        <v>-262.79999999999995</v>
      </c>
      <c r="M228" s="62">
        <f t="shared" si="21"/>
        <v>-0.23934426229508193</v>
      </c>
      <c r="O228" s="61">
        <v>783</v>
      </c>
      <c r="P228" s="61">
        <f t="shared" si="22"/>
        <v>-315</v>
      </c>
      <c r="Q228" s="62">
        <f t="shared" si="23"/>
        <v>-0.28688524590163933</v>
      </c>
      <c r="S228" s="60">
        <v>1547</v>
      </c>
      <c r="T228" s="50">
        <v>1098</v>
      </c>
    </row>
    <row r="229" spans="1:20">
      <c r="A229" s="67">
        <v>192</v>
      </c>
      <c r="B229" s="74" t="s">
        <v>211</v>
      </c>
      <c r="C229" s="60">
        <v>1492</v>
      </c>
      <c r="D229" s="125" t="s">
        <v>365</v>
      </c>
      <c r="G229" s="61">
        <v>1419</v>
      </c>
      <c r="H229" s="61">
        <f t="shared" si="19"/>
        <v>-73</v>
      </c>
      <c r="I229" s="62">
        <f t="shared" si="18"/>
        <v>-4.8927613941018765E-2</v>
      </c>
      <c r="K229" s="61">
        <v>1135.2</v>
      </c>
      <c r="L229" s="61">
        <f t="shared" si="20"/>
        <v>-356.79999999999995</v>
      </c>
      <c r="M229" s="62">
        <f t="shared" si="21"/>
        <v>-0.23914209115281498</v>
      </c>
      <c r="O229" s="61">
        <v>1064.25</v>
      </c>
      <c r="P229" s="61">
        <f t="shared" si="22"/>
        <v>-427.75</v>
      </c>
      <c r="Q229" s="62">
        <f t="shared" si="23"/>
        <v>-0.28669571045576409</v>
      </c>
      <c r="S229" s="60">
        <v>8280</v>
      </c>
      <c r="T229" s="50">
        <v>9766</v>
      </c>
    </row>
    <row r="230" spans="1:20">
      <c r="A230" s="67">
        <v>193</v>
      </c>
      <c r="B230" s="74" t="s">
        <v>212</v>
      </c>
      <c r="C230" s="60">
        <v>11585</v>
      </c>
      <c r="D230" s="125" t="s">
        <v>365</v>
      </c>
      <c r="G230" s="61">
        <v>9502</v>
      </c>
      <c r="H230" s="61">
        <f t="shared" si="19"/>
        <v>-2083</v>
      </c>
      <c r="I230" s="62">
        <f t="shared" ref="I230:I244" si="24">H230/C230</f>
        <v>-0.17980146741476047</v>
      </c>
      <c r="K230" s="61">
        <v>7601.6</v>
      </c>
      <c r="L230" s="61">
        <f t="shared" si="20"/>
        <v>-3983.3999999999996</v>
      </c>
      <c r="M230" s="62">
        <f t="shared" si="21"/>
        <v>-0.34384117393180835</v>
      </c>
      <c r="O230" s="61">
        <v>7126.5</v>
      </c>
      <c r="P230" s="61">
        <f t="shared" si="22"/>
        <v>-4458.5</v>
      </c>
      <c r="Q230" s="62">
        <f t="shared" si="23"/>
        <v>-0.38485110056107036</v>
      </c>
      <c r="S230" s="60">
        <v>8901</v>
      </c>
    </row>
    <row r="231" spans="1:20">
      <c r="A231" s="67">
        <v>194</v>
      </c>
      <c r="B231" s="74" t="s">
        <v>213</v>
      </c>
      <c r="C231" s="60">
        <v>6307</v>
      </c>
      <c r="D231" s="125" t="s">
        <v>365</v>
      </c>
      <c r="G231" s="61">
        <v>12349</v>
      </c>
      <c r="H231" s="61">
        <f t="shared" ref="H231:H244" si="25">+G231-C231</f>
        <v>6042</v>
      </c>
      <c r="I231" s="62">
        <f t="shared" si="24"/>
        <v>0.95798319327731096</v>
      </c>
      <c r="K231" s="61">
        <v>9879.2000000000007</v>
      </c>
      <c r="L231" s="61">
        <f t="shared" ref="L231:L244" si="26">+K231-C231</f>
        <v>3572.2000000000007</v>
      </c>
      <c r="M231" s="62">
        <f t="shared" ref="M231:M244" si="27">L231/C231</f>
        <v>0.56638655462184884</v>
      </c>
      <c r="O231" s="61">
        <v>9261.75</v>
      </c>
      <c r="P231" s="61">
        <f t="shared" ref="P231:P244" si="28">+O231-C231</f>
        <v>2954.75</v>
      </c>
      <c r="Q231" s="62">
        <f t="shared" ref="Q231:Q244" si="29">+P231/C231</f>
        <v>0.46848739495798319</v>
      </c>
      <c r="S231" s="60">
        <v>4165</v>
      </c>
    </row>
    <row r="232" spans="1:20">
      <c r="A232" s="67">
        <v>195</v>
      </c>
      <c r="B232" s="74" t="s">
        <v>214</v>
      </c>
      <c r="C232" s="60">
        <v>2142</v>
      </c>
      <c r="D232" s="125" t="s">
        <v>365</v>
      </c>
      <c r="G232" s="61">
        <v>872</v>
      </c>
      <c r="H232" s="61">
        <f t="shared" si="25"/>
        <v>-1270</v>
      </c>
      <c r="I232" s="62">
        <f t="shared" si="24"/>
        <v>-0.59290382819794585</v>
      </c>
      <c r="K232" s="61">
        <v>697.6</v>
      </c>
      <c r="L232" s="61">
        <f t="shared" si="26"/>
        <v>-1444.4</v>
      </c>
      <c r="M232" s="62">
        <f t="shared" si="27"/>
        <v>-0.67432306255835672</v>
      </c>
      <c r="O232" s="61">
        <v>654</v>
      </c>
      <c r="P232" s="61">
        <f t="shared" si="28"/>
        <v>-1488</v>
      </c>
      <c r="Q232" s="62">
        <f t="shared" si="29"/>
        <v>-0.69467787114845936</v>
      </c>
      <c r="S232" s="60">
        <v>6673</v>
      </c>
    </row>
    <row r="233" spans="1:20">
      <c r="A233" s="67">
        <v>196</v>
      </c>
      <c r="B233" s="74" t="s">
        <v>215</v>
      </c>
      <c r="C233" s="60">
        <v>7566</v>
      </c>
      <c r="D233" s="125" t="s">
        <v>365</v>
      </c>
      <c r="G233" s="61">
        <v>3207</v>
      </c>
      <c r="H233" s="61">
        <f t="shared" si="25"/>
        <v>-4359</v>
      </c>
      <c r="I233" s="62">
        <f t="shared" si="24"/>
        <v>-0.57613005551149876</v>
      </c>
      <c r="K233" s="61">
        <v>2565.6</v>
      </c>
      <c r="L233" s="61">
        <f t="shared" si="26"/>
        <v>-5000.3999999999996</v>
      </c>
      <c r="M233" s="62">
        <f t="shared" si="27"/>
        <v>-0.66090404440919903</v>
      </c>
      <c r="O233" s="61">
        <v>2405.25</v>
      </c>
      <c r="P233" s="61">
        <f t="shared" si="28"/>
        <v>-5160.75</v>
      </c>
      <c r="Q233" s="62">
        <f t="shared" si="29"/>
        <v>-0.68209754163362413</v>
      </c>
      <c r="S233" s="60">
        <v>37716</v>
      </c>
    </row>
    <row r="234" spans="1:20">
      <c r="A234" s="67">
        <v>197</v>
      </c>
      <c r="B234" s="74" t="s">
        <v>216</v>
      </c>
      <c r="C234" s="60">
        <v>49000</v>
      </c>
      <c r="D234" s="125" t="s">
        <v>365</v>
      </c>
      <c r="G234" s="61">
        <v>38369</v>
      </c>
      <c r="H234" s="61">
        <f t="shared" si="25"/>
        <v>-10631</v>
      </c>
      <c r="I234" s="62">
        <f t="shared" si="24"/>
        <v>-0.21695918367346939</v>
      </c>
      <c r="K234" s="61">
        <v>30695.200000000001</v>
      </c>
      <c r="L234" s="61">
        <f t="shared" si="26"/>
        <v>-18304.8</v>
      </c>
      <c r="M234" s="62">
        <f t="shared" si="27"/>
        <v>-0.37356734693877547</v>
      </c>
      <c r="O234" s="61">
        <v>28776.75</v>
      </c>
      <c r="P234" s="61">
        <f t="shared" si="28"/>
        <v>-20223.25</v>
      </c>
      <c r="Q234" s="62">
        <f t="shared" si="29"/>
        <v>-0.41271938775510203</v>
      </c>
      <c r="S234" s="60">
        <v>25695</v>
      </c>
    </row>
    <row r="235" spans="1:20">
      <c r="A235" s="67">
        <v>198</v>
      </c>
      <c r="B235" s="74" t="s">
        <v>217</v>
      </c>
      <c r="C235" s="60">
        <v>34480</v>
      </c>
      <c r="D235" s="125" t="s">
        <v>365</v>
      </c>
      <c r="G235" s="61">
        <v>32679</v>
      </c>
      <c r="H235" s="61">
        <f t="shared" si="25"/>
        <v>-1801</v>
      </c>
      <c r="I235" s="62">
        <f t="shared" si="24"/>
        <v>-5.2233178654292341E-2</v>
      </c>
      <c r="K235" s="61">
        <v>26143.200000000001</v>
      </c>
      <c r="L235" s="61">
        <f t="shared" si="26"/>
        <v>-8336.7999999999993</v>
      </c>
      <c r="M235" s="62">
        <f t="shared" si="27"/>
        <v>-0.24178654292343385</v>
      </c>
      <c r="O235" s="61">
        <v>24509.25</v>
      </c>
      <c r="P235" s="61">
        <f t="shared" si="28"/>
        <v>-9970.75</v>
      </c>
      <c r="Q235" s="62">
        <f t="shared" si="29"/>
        <v>-0.28917488399071928</v>
      </c>
      <c r="S235" s="60">
        <v>19270</v>
      </c>
    </row>
    <row r="236" spans="1:20">
      <c r="A236" s="67">
        <v>199</v>
      </c>
      <c r="B236" s="74" t="s">
        <v>218</v>
      </c>
      <c r="C236" s="60">
        <v>22620</v>
      </c>
      <c r="D236" s="125" t="s">
        <v>365</v>
      </c>
      <c r="G236" s="61">
        <v>17107</v>
      </c>
      <c r="H236" s="61">
        <f t="shared" si="25"/>
        <v>-5513</v>
      </c>
      <c r="I236" s="62">
        <f t="shared" si="24"/>
        <v>-0.24372236958443855</v>
      </c>
      <c r="K236" s="61">
        <v>13685.6</v>
      </c>
      <c r="L236" s="61">
        <f t="shared" si="26"/>
        <v>-8934.4</v>
      </c>
      <c r="M236" s="62">
        <f t="shared" si="27"/>
        <v>-0.39497789566755082</v>
      </c>
      <c r="O236" s="61">
        <v>12830.25</v>
      </c>
      <c r="P236" s="61">
        <f t="shared" si="28"/>
        <v>-9789.75</v>
      </c>
      <c r="Q236" s="62">
        <f t="shared" si="29"/>
        <v>-0.4327917771883289</v>
      </c>
      <c r="S236" s="60">
        <v>13676</v>
      </c>
    </row>
    <row r="237" spans="1:20">
      <c r="A237" s="67">
        <v>200</v>
      </c>
      <c r="B237" s="74" t="s">
        <v>219</v>
      </c>
      <c r="C237" s="60">
        <v>17130</v>
      </c>
      <c r="D237" s="125" t="s">
        <v>365</v>
      </c>
      <c r="G237" s="61">
        <v>15325</v>
      </c>
      <c r="H237" s="61">
        <f t="shared" si="25"/>
        <v>-1805</v>
      </c>
      <c r="I237" s="62">
        <f t="shared" si="24"/>
        <v>-0.10537069468768243</v>
      </c>
      <c r="K237" s="61">
        <v>12260</v>
      </c>
      <c r="L237" s="61">
        <f t="shared" si="26"/>
        <v>-4870</v>
      </c>
      <c r="M237" s="62">
        <f t="shared" si="27"/>
        <v>-0.28429655575014595</v>
      </c>
      <c r="O237" s="61">
        <v>11493.75</v>
      </c>
      <c r="P237" s="61">
        <f t="shared" si="28"/>
        <v>-5636.25</v>
      </c>
      <c r="Q237" s="62">
        <f t="shared" si="29"/>
        <v>-0.32902802101576184</v>
      </c>
      <c r="S237" s="60">
        <v>1932</v>
      </c>
    </row>
    <row r="238" spans="1:20">
      <c r="A238" s="67">
        <v>201</v>
      </c>
      <c r="B238" s="74" t="s">
        <v>220</v>
      </c>
      <c r="C238" s="60">
        <v>4486</v>
      </c>
      <c r="D238" s="125" t="s">
        <v>365</v>
      </c>
      <c r="G238" s="61">
        <v>2098</v>
      </c>
      <c r="H238" s="61">
        <f t="shared" si="25"/>
        <v>-2388</v>
      </c>
      <c r="I238" s="62">
        <f t="shared" si="24"/>
        <v>-0.53232278198840843</v>
      </c>
      <c r="K238" s="61">
        <v>1678.4</v>
      </c>
      <c r="L238" s="61">
        <f t="shared" si="26"/>
        <v>-2807.6</v>
      </c>
      <c r="M238" s="62">
        <f t="shared" si="27"/>
        <v>-0.62585822559072668</v>
      </c>
      <c r="O238" s="61">
        <v>1573.5</v>
      </c>
      <c r="P238" s="61">
        <f t="shared" si="28"/>
        <v>-2912.5</v>
      </c>
      <c r="Q238" s="62">
        <f t="shared" si="29"/>
        <v>-0.64924208649130632</v>
      </c>
      <c r="S238" s="60">
        <v>4876</v>
      </c>
    </row>
    <row r="239" spans="1:20">
      <c r="A239" s="67">
        <v>202</v>
      </c>
      <c r="B239" s="74" t="s">
        <v>221</v>
      </c>
      <c r="C239" s="60">
        <v>10320</v>
      </c>
      <c r="D239" s="125" t="s">
        <v>365</v>
      </c>
      <c r="G239" s="61">
        <v>4233</v>
      </c>
      <c r="H239" s="61">
        <f t="shared" si="25"/>
        <v>-6087</v>
      </c>
      <c r="I239" s="62">
        <f t="shared" si="24"/>
        <v>-0.5898255813953488</v>
      </c>
      <c r="K239" s="61">
        <v>3386.4</v>
      </c>
      <c r="L239" s="61">
        <f t="shared" si="26"/>
        <v>-6933.6</v>
      </c>
      <c r="M239" s="62">
        <f t="shared" si="27"/>
        <v>-0.67186046511627906</v>
      </c>
      <c r="O239" s="61">
        <v>3174.75</v>
      </c>
      <c r="P239" s="61">
        <f t="shared" si="28"/>
        <v>-7145.25</v>
      </c>
      <c r="Q239" s="62">
        <f t="shared" si="29"/>
        <v>-0.69236918604651165</v>
      </c>
      <c r="S239" s="60">
        <v>9160</v>
      </c>
    </row>
    <row r="240" spans="1:20">
      <c r="A240" s="67">
        <v>203</v>
      </c>
      <c r="B240" s="74" t="s">
        <v>222</v>
      </c>
      <c r="C240" s="60">
        <v>15570</v>
      </c>
      <c r="D240" s="125" t="s">
        <v>365</v>
      </c>
      <c r="G240" s="61">
        <v>7720</v>
      </c>
      <c r="H240" s="61">
        <f t="shared" si="25"/>
        <v>-7850</v>
      </c>
      <c r="I240" s="62">
        <f t="shared" si="24"/>
        <v>-0.50417469492613998</v>
      </c>
      <c r="K240" s="61">
        <v>6176</v>
      </c>
      <c r="L240" s="61">
        <f t="shared" si="26"/>
        <v>-9394</v>
      </c>
      <c r="M240" s="62">
        <f t="shared" si="27"/>
        <v>-0.60333975594091205</v>
      </c>
      <c r="O240" s="61">
        <v>5790</v>
      </c>
      <c r="P240" s="61">
        <f t="shared" si="28"/>
        <v>-9780</v>
      </c>
      <c r="Q240" s="62">
        <f t="shared" si="29"/>
        <v>-0.62813102119460495</v>
      </c>
      <c r="S240" s="60">
        <v>7735</v>
      </c>
    </row>
    <row r="241" spans="1:19">
      <c r="A241" s="67">
        <v>204</v>
      </c>
      <c r="B241" s="74" t="s">
        <v>223</v>
      </c>
      <c r="C241" s="60">
        <v>15570</v>
      </c>
      <c r="D241" s="125" t="s">
        <v>365</v>
      </c>
      <c r="G241" s="61">
        <v>5956</v>
      </c>
      <c r="H241" s="61">
        <f t="shared" si="25"/>
        <v>-9614</v>
      </c>
      <c r="I241" s="62">
        <f t="shared" si="24"/>
        <v>-0.6174694926140013</v>
      </c>
      <c r="K241" s="61">
        <v>4764.8</v>
      </c>
      <c r="L241" s="61">
        <f t="shared" si="26"/>
        <v>-10805.2</v>
      </c>
      <c r="M241" s="62">
        <f t="shared" si="27"/>
        <v>-0.69397559409120102</v>
      </c>
      <c r="O241" s="61">
        <v>4467</v>
      </c>
      <c r="P241" s="61">
        <f t="shared" si="28"/>
        <v>-11103</v>
      </c>
      <c r="Q241" s="62">
        <f t="shared" si="29"/>
        <v>-0.71310211946050095</v>
      </c>
      <c r="S241" s="60">
        <v>2388</v>
      </c>
    </row>
    <row r="242" spans="1:19">
      <c r="A242" s="67">
        <v>205</v>
      </c>
      <c r="B242" s="74" t="s">
        <v>224</v>
      </c>
      <c r="C242" s="60">
        <v>3384.6217999999999</v>
      </c>
      <c r="D242" s="125" t="s">
        <v>365</v>
      </c>
      <c r="G242" s="61">
        <v>2052</v>
      </c>
      <c r="H242" s="61">
        <f t="shared" si="25"/>
        <v>-1332.6217999999999</v>
      </c>
      <c r="I242" s="62">
        <f t="shared" si="24"/>
        <v>-0.39372842188749124</v>
      </c>
      <c r="K242" s="61">
        <v>1641.6</v>
      </c>
      <c r="L242" s="61">
        <f t="shared" si="26"/>
        <v>-1743.0218</v>
      </c>
      <c r="M242" s="62">
        <f t="shared" si="27"/>
        <v>-0.51498273750999302</v>
      </c>
      <c r="O242" s="61">
        <v>1539</v>
      </c>
      <c r="P242" s="61">
        <f t="shared" si="28"/>
        <v>-1845.6217999999999</v>
      </c>
      <c r="Q242" s="62">
        <f t="shared" si="29"/>
        <v>-0.54529631641561838</v>
      </c>
      <c r="S242" s="60">
        <v>38080</v>
      </c>
    </row>
    <row r="243" spans="1:19">
      <c r="A243" s="67">
        <v>206</v>
      </c>
      <c r="B243" s="74" t="s">
        <v>225</v>
      </c>
      <c r="C243" s="60">
        <v>21590</v>
      </c>
      <c r="D243" s="125" t="s">
        <v>365</v>
      </c>
      <c r="G243" s="61">
        <v>2569</v>
      </c>
      <c r="H243" s="61">
        <f t="shared" si="25"/>
        <v>-19021</v>
      </c>
      <c r="I243" s="62">
        <f t="shared" si="24"/>
        <v>-0.88100972672533584</v>
      </c>
      <c r="K243" s="61">
        <v>2055.1999999999998</v>
      </c>
      <c r="L243" s="61">
        <f t="shared" si="26"/>
        <v>-19534.8</v>
      </c>
      <c r="M243" s="62">
        <f t="shared" si="27"/>
        <v>-0.90480778138026863</v>
      </c>
      <c r="O243" s="61">
        <v>1926.75</v>
      </c>
      <c r="P243" s="61">
        <f t="shared" si="28"/>
        <v>-19663.25</v>
      </c>
      <c r="Q243" s="62">
        <f t="shared" si="29"/>
        <v>-0.91075729504400182</v>
      </c>
      <c r="S243" s="60">
        <v>801</v>
      </c>
    </row>
    <row r="244" spans="1:19">
      <c r="A244" s="67">
        <v>207</v>
      </c>
      <c r="B244" s="74" t="s">
        <v>226</v>
      </c>
      <c r="C244" s="60">
        <v>1428</v>
      </c>
      <c r="D244" s="125" t="s">
        <v>365</v>
      </c>
      <c r="G244" s="61">
        <v>1365</v>
      </c>
      <c r="H244" s="61">
        <f t="shared" si="25"/>
        <v>-63</v>
      </c>
      <c r="I244" s="62">
        <f t="shared" si="24"/>
        <v>-4.4117647058823532E-2</v>
      </c>
      <c r="K244" s="61">
        <v>1092</v>
      </c>
      <c r="L244" s="61">
        <f t="shared" si="26"/>
        <v>-336</v>
      </c>
      <c r="M244" s="62">
        <f t="shared" si="27"/>
        <v>-0.23529411764705882</v>
      </c>
      <c r="O244" s="61">
        <v>1023.75</v>
      </c>
      <c r="P244" s="61">
        <f t="shared" si="28"/>
        <v>-404.25</v>
      </c>
      <c r="Q244" s="62">
        <f t="shared" si="29"/>
        <v>-0.28308823529411764</v>
      </c>
      <c r="S244" s="60">
        <v>2975</v>
      </c>
    </row>
    <row r="245" spans="1:19">
      <c r="A245" s="575" t="s">
        <v>493</v>
      </c>
      <c r="B245" s="575"/>
    </row>
    <row r="246" spans="1:19">
      <c r="A246" s="576" t="s">
        <v>451</v>
      </c>
      <c r="B246" s="576" t="s">
        <v>443</v>
      </c>
      <c r="G246" s="574" t="s">
        <v>444</v>
      </c>
      <c r="H246" s="574"/>
      <c r="I246" s="574"/>
      <c r="J246" s="574"/>
      <c r="K246" s="574"/>
      <c r="L246" s="574"/>
      <c r="M246" s="574"/>
      <c r="N246" s="574"/>
      <c r="O246" s="574"/>
      <c r="P246" s="574"/>
      <c r="Q246" s="574"/>
    </row>
    <row r="247" spans="1:19" ht="25.5">
      <c r="A247" s="56" t="s">
        <v>445</v>
      </c>
      <c r="B247" s="56" t="s">
        <v>446</v>
      </c>
      <c r="C247" s="57" t="s">
        <v>447</v>
      </c>
      <c r="D247" s="58" t="s">
        <v>606</v>
      </c>
      <c r="G247" s="58" t="s">
        <v>435</v>
      </c>
      <c r="H247" s="58" t="s">
        <v>436</v>
      </c>
      <c r="I247" s="58" t="s">
        <v>437</v>
      </c>
      <c r="K247" s="59" t="s">
        <v>448</v>
      </c>
      <c r="L247" s="58" t="s">
        <v>436</v>
      </c>
      <c r="M247" s="58" t="s">
        <v>437</v>
      </c>
      <c r="O247" s="59" t="s">
        <v>495</v>
      </c>
      <c r="P247" s="58" t="s">
        <v>436</v>
      </c>
      <c r="Q247" s="58" t="s">
        <v>437</v>
      </c>
      <c r="S247" s="57" t="s">
        <v>449</v>
      </c>
    </row>
    <row r="248" spans="1:19">
      <c r="A248" s="67">
        <v>208</v>
      </c>
      <c r="B248" s="74" t="s">
        <v>227</v>
      </c>
      <c r="C248" s="71">
        <v>3770</v>
      </c>
      <c r="D248" s="125" t="s">
        <v>366</v>
      </c>
      <c r="G248" s="61">
        <v>1911</v>
      </c>
      <c r="H248" s="61">
        <f t="shared" ref="H248:H311" si="30">+G248-C248</f>
        <v>-1859</v>
      </c>
      <c r="I248" s="62">
        <f t="shared" ref="I248:I311" si="31">H248/C248</f>
        <v>-0.49310344827586206</v>
      </c>
      <c r="K248" s="61">
        <v>1528.8</v>
      </c>
      <c r="L248" s="61">
        <f t="shared" ref="L248:L311" si="32">+K248-C248</f>
        <v>-2241.1999999999998</v>
      </c>
      <c r="M248" s="62">
        <f t="shared" ref="M248:M311" si="33">L248/C248</f>
        <v>-0.59448275862068956</v>
      </c>
      <c r="O248" s="61">
        <v>1433.25</v>
      </c>
      <c r="P248" s="61">
        <f t="shared" ref="P248:P311" si="34">+O248-C248</f>
        <v>-2336.75</v>
      </c>
      <c r="Q248" s="62">
        <f t="shared" ref="Q248:Q311" si="35">+P248/C248</f>
        <v>-0.6198275862068966</v>
      </c>
      <c r="S248" s="71">
        <v>905</v>
      </c>
    </row>
    <row r="249" spans="1:19">
      <c r="A249" s="67">
        <v>209</v>
      </c>
      <c r="B249" s="74" t="s">
        <v>227</v>
      </c>
      <c r="C249" s="71">
        <v>45272.36</v>
      </c>
      <c r="D249" s="125" t="s">
        <v>365</v>
      </c>
      <c r="G249" s="61">
        <v>15322</v>
      </c>
      <c r="H249" s="61">
        <f t="shared" si="30"/>
        <v>-29950.36</v>
      </c>
      <c r="I249" s="62">
        <f t="shared" si="31"/>
        <v>-0.66155950341444536</v>
      </c>
      <c r="K249" s="61">
        <v>12257.6</v>
      </c>
      <c r="L249" s="61">
        <f t="shared" si="32"/>
        <v>-33014.76</v>
      </c>
      <c r="M249" s="62">
        <f t="shared" si="33"/>
        <v>-0.72924760273155631</v>
      </c>
      <c r="O249" s="61">
        <v>11491.5</v>
      </c>
      <c r="P249" s="61">
        <f t="shared" si="34"/>
        <v>-33780.86</v>
      </c>
      <c r="Q249" s="62">
        <f t="shared" si="35"/>
        <v>-0.74616962756083405</v>
      </c>
      <c r="S249" s="71">
        <v>4729</v>
      </c>
    </row>
    <row r="250" spans="1:19">
      <c r="A250" s="67">
        <v>210</v>
      </c>
      <c r="B250" s="74" t="s">
        <v>228</v>
      </c>
      <c r="C250" s="71">
        <v>190</v>
      </c>
      <c r="D250" s="125" t="s">
        <v>366</v>
      </c>
      <c r="G250" s="61">
        <v>226</v>
      </c>
      <c r="H250" s="61">
        <f t="shared" si="30"/>
        <v>36</v>
      </c>
      <c r="I250" s="62">
        <f t="shared" si="31"/>
        <v>0.18947368421052632</v>
      </c>
      <c r="K250" s="61">
        <v>180.8</v>
      </c>
      <c r="L250" s="61">
        <f t="shared" si="32"/>
        <v>-9.1999999999999886</v>
      </c>
      <c r="M250" s="62">
        <f t="shared" si="33"/>
        <v>-4.8421052631578886E-2</v>
      </c>
      <c r="O250" s="61">
        <v>169.5</v>
      </c>
      <c r="P250" s="61">
        <f t="shared" si="34"/>
        <v>-20.5</v>
      </c>
      <c r="Q250" s="62">
        <f t="shared" si="35"/>
        <v>-0.10789473684210527</v>
      </c>
      <c r="S250" s="71">
        <v>212</v>
      </c>
    </row>
    <row r="251" spans="1:19">
      <c r="A251" s="67">
        <v>211</v>
      </c>
      <c r="B251" s="74" t="s">
        <v>228</v>
      </c>
      <c r="C251" s="71">
        <v>2261</v>
      </c>
      <c r="D251" s="125" t="s">
        <v>365</v>
      </c>
      <c r="G251" s="61">
        <v>1540</v>
      </c>
      <c r="H251" s="61">
        <f t="shared" si="30"/>
        <v>-721</v>
      </c>
      <c r="I251" s="62">
        <f t="shared" si="31"/>
        <v>-0.31888544891640869</v>
      </c>
      <c r="K251" s="61">
        <v>1232</v>
      </c>
      <c r="L251" s="61">
        <f t="shared" si="32"/>
        <v>-1029</v>
      </c>
      <c r="M251" s="62">
        <f t="shared" si="33"/>
        <v>-0.45510835913312692</v>
      </c>
      <c r="O251" s="61">
        <v>1155</v>
      </c>
      <c r="P251" s="61">
        <f t="shared" si="34"/>
        <v>-1106</v>
      </c>
      <c r="Q251" s="62">
        <f t="shared" si="35"/>
        <v>-0.48916408668730649</v>
      </c>
      <c r="S251" s="71">
        <v>320</v>
      </c>
    </row>
    <row r="252" spans="1:19">
      <c r="A252" s="67">
        <v>212</v>
      </c>
      <c r="B252" s="74" t="s">
        <v>229</v>
      </c>
      <c r="C252" s="71">
        <v>220</v>
      </c>
      <c r="D252" s="125" t="s">
        <v>366</v>
      </c>
      <c r="G252" s="61">
        <v>226</v>
      </c>
      <c r="H252" s="61">
        <f t="shared" si="30"/>
        <v>6</v>
      </c>
      <c r="I252" s="62">
        <f t="shared" si="31"/>
        <v>2.7272727272727271E-2</v>
      </c>
      <c r="K252" s="61">
        <v>180.8</v>
      </c>
      <c r="L252" s="61">
        <f t="shared" si="32"/>
        <v>-39.199999999999989</v>
      </c>
      <c r="M252" s="62">
        <f t="shared" si="33"/>
        <v>-0.17818181818181814</v>
      </c>
      <c r="O252" s="61">
        <v>169.5</v>
      </c>
      <c r="P252" s="61">
        <f t="shared" si="34"/>
        <v>-50.5</v>
      </c>
      <c r="Q252" s="62">
        <f t="shared" si="35"/>
        <v>-0.22954545454545455</v>
      </c>
      <c r="S252" s="71">
        <v>209</v>
      </c>
    </row>
    <row r="253" spans="1:19">
      <c r="A253" s="67">
        <v>213</v>
      </c>
      <c r="B253" s="74" t="s">
        <v>229</v>
      </c>
      <c r="C253" s="71">
        <v>2618</v>
      </c>
      <c r="D253" s="125" t="s">
        <v>365</v>
      </c>
      <c r="G253" s="61">
        <v>2292</v>
      </c>
      <c r="H253" s="61">
        <f t="shared" si="30"/>
        <v>-326</v>
      </c>
      <c r="I253" s="62">
        <f t="shared" si="31"/>
        <v>-0.12452253628724216</v>
      </c>
      <c r="K253" s="61">
        <v>1833.6</v>
      </c>
      <c r="L253" s="61">
        <f t="shared" si="32"/>
        <v>-784.40000000000009</v>
      </c>
      <c r="M253" s="62">
        <f t="shared" si="33"/>
        <v>-0.29961802902979379</v>
      </c>
      <c r="O253" s="61">
        <v>1719</v>
      </c>
      <c r="P253" s="61">
        <f t="shared" si="34"/>
        <v>-899</v>
      </c>
      <c r="Q253" s="62">
        <f t="shared" si="35"/>
        <v>-0.34339190221543164</v>
      </c>
      <c r="S253" s="71">
        <v>209</v>
      </c>
    </row>
    <row r="254" spans="1:19">
      <c r="A254" s="67">
        <v>214</v>
      </c>
      <c r="B254" s="74" t="s">
        <v>230</v>
      </c>
      <c r="C254" s="71">
        <v>2975</v>
      </c>
      <c r="D254" s="125" t="s">
        <v>365</v>
      </c>
      <c r="G254" s="61">
        <v>1984</v>
      </c>
      <c r="H254" s="61">
        <f t="shared" si="30"/>
        <v>-991</v>
      </c>
      <c r="I254" s="62">
        <f t="shared" si="31"/>
        <v>-0.33310924369747902</v>
      </c>
      <c r="K254" s="61">
        <v>1587.2</v>
      </c>
      <c r="L254" s="61">
        <f t="shared" si="32"/>
        <v>-1387.8</v>
      </c>
      <c r="M254" s="62">
        <f t="shared" si="33"/>
        <v>-0.46648739495798319</v>
      </c>
      <c r="O254" s="61">
        <v>1488</v>
      </c>
      <c r="P254" s="61">
        <f t="shared" si="34"/>
        <v>-1487</v>
      </c>
      <c r="Q254" s="62">
        <f t="shared" si="35"/>
        <v>-0.49983193277310922</v>
      </c>
      <c r="S254" s="71">
        <v>1747</v>
      </c>
    </row>
    <row r="255" spans="1:19">
      <c r="A255" s="67">
        <v>215</v>
      </c>
      <c r="B255" s="74" t="s">
        <v>231</v>
      </c>
      <c r="C255" s="71">
        <v>2975</v>
      </c>
      <c r="D255" s="125" t="s">
        <v>365</v>
      </c>
      <c r="G255" s="61">
        <v>1984</v>
      </c>
      <c r="H255" s="61">
        <f t="shared" si="30"/>
        <v>-991</v>
      </c>
      <c r="I255" s="62">
        <f t="shared" si="31"/>
        <v>-0.33310924369747902</v>
      </c>
      <c r="K255" s="61">
        <v>1587.2</v>
      </c>
      <c r="L255" s="61">
        <f t="shared" si="32"/>
        <v>-1387.8</v>
      </c>
      <c r="M255" s="62">
        <f t="shared" si="33"/>
        <v>-0.46648739495798319</v>
      </c>
      <c r="O255" s="61">
        <v>1488</v>
      </c>
      <c r="P255" s="61">
        <f t="shared" si="34"/>
        <v>-1487</v>
      </c>
      <c r="Q255" s="62">
        <f t="shared" si="35"/>
        <v>-0.49983193277310922</v>
      </c>
      <c r="S255" s="71">
        <v>143</v>
      </c>
    </row>
    <row r="256" spans="1:19">
      <c r="A256" s="67">
        <v>216</v>
      </c>
      <c r="B256" s="74" t="s">
        <v>232</v>
      </c>
      <c r="C256" s="71">
        <v>2975</v>
      </c>
      <c r="D256" s="125" t="s">
        <v>365</v>
      </c>
      <c r="G256" s="61">
        <v>1155</v>
      </c>
      <c r="H256" s="61">
        <f t="shared" si="30"/>
        <v>-1820</v>
      </c>
      <c r="I256" s="62">
        <f t="shared" si="31"/>
        <v>-0.61176470588235299</v>
      </c>
      <c r="K256" s="61">
        <v>924</v>
      </c>
      <c r="L256" s="61">
        <f t="shared" si="32"/>
        <v>-2051</v>
      </c>
      <c r="M256" s="62">
        <f t="shared" si="33"/>
        <v>-0.68941176470588239</v>
      </c>
      <c r="O256" s="61">
        <v>866.25</v>
      </c>
      <c r="P256" s="61">
        <f t="shared" si="34"/>
        <v>-2108.75</v>
      </c>
      <c r="Q256" s="62">
        <f t="shared" si="35"/>
        <v>-0.70882352941176474</v>
      </c>
      <c r="S256" s="71">
        <v>1420</v>
      </c>
    </row>
    <row r="257" spans="1:19">
      <c r="A257" s="67">
        <v>217</v>
      </c>
      <c r="B257" s="74" t="s">
        <v>233</v>
      </c>
      <c r="C257" s="71">
        <v>1428</v>
      </c>
      <c r="D257" s="125" t="s">
        <v>365</v>
      </c>
      <c r="G257" s="61">
        <v>1437</v>
      </c>
      <c r="H257" s="61">
        <f t="shared" si="30"/>
        <v>9</v>
      </c>
      <c r="I257" s="62">
        <f t="shared" si="31"/>
        <v>6.3025210084033615E-3</v>
      </c>
      <c r="K257" s="61">
        <v>1149.5999999999999</v>
      </c>
      <c r="L257" s="61">
        <f t="shared" si="32"/>
        <v>-278.40000000000009</v>
      </c>
      <c r="M257" s="62">
        <f t="shared" si="33"/>
        <v>-0.19495798319327737</v>
      </c>
      <c r="O257" s="61">
        <v>1077.75</v>
      </c>
      <c r="P257" s="61">
        <f t="shared" si="34"/>
        <v>-350.25</v>
      </c>
      <c r="Q257" s="62">
        <f t="shared" si="35"/>
        <v>-0.24527310924369747</v>
      </c>
      <c r="S257" s="71">
        <v>1049</v>
      </c>
    </row>
    <row r="258" spans="1:19">
      <c r="A258" s="67">
        <v>218</v>
      </c>
      <c r="B258" s="74" t="s">
        <v>234</v>
      </c>
      <c r="C258" s="71">
        <v>775</v>
      </c>
      <c r="D258" s="125" t="s">
        <v>366</v>
      </c>
      <c r="G258" s="61">
        <v>679</v>
      </c>
      <c r="H258" s="61">
        <f t="shared" si="30"/>
        <v>-96</v>
      </c>
      <c r="I258" s="62">
        <f t="shared" si="31"/>
        <v>-0.12387096774193548</v>
      </c>
      <c r="K258" s="61">
        <v>543.20000000000005</v>
      </c>
      <c r="L258" s="61">
        <f t="shared" si="32"/>
        <v>-231.79999999999995</v>
      </c>
      <c r="M258" s="62">
        <f t="shared" si="33"/>
        <v>-0.29909677419354835</v>
      </c>
      <c r="O258" s="61">
        <v>509.25</v>
      </c>
      <c r="P258" s="61">
        <f t="shared" si="34"/>
        <v>-265.75</v>
      </c>
      <c r="Q258" s="62">
        <f t="shared" si="35"/>
        <v>-0.34290322580645161</v>
      </c>
      <c r="S258" s="71">
        <v>613</v>
      </c>
    </row>
    <row r="259" spans="1:19">
      <c r="A259" s="67">
        <v>219</v>
      </c>
      <c r="B259" s="74" t="s">
        <v>234</v>
      </c>
      <c r="C259" s="71">
        <v>9282</v>
      </c>
      <c r="D259" s="125" t="s">
        <v>365</v>
      </c>
      <c r="G259" s="61">
        <v>6930</v>
      </c>
      <c r="H259" s="61">
        <f t="shared" si="30"/>
        <v>-2352</v>
      </c>
      <c r="I259" s="62">
        <f t="shared" si="31"/>
        <v>-0.25339366515837103</v>
      </c>
      <c r="K259" s="61">
        <v>5544</v>
      </c>
      <c r="L259" s="61">
        <f t="shared" si="32"/>
        <v>-3738</v>
      </c>
      <c r="M259" s="62">
        <f t="shared" si="33"/>
        <v>-0.40271493212669685</v>
      </c>
      <c r="O259" s="61">
        <v>5197.5</v>
      </c>
      <c r="P259" s="61">
        <f t="shared" si="34"/>
        <v>-4084.5</v>
      </c>
      <c r="Q259" s="62">
        <f t="shared" si="35"/>
        <v>-0.44004524886877827</v>
      </c>
      <c r="S259" s="71">
        <v>1049</v>
      </c>
    </row>
    <row r="260" spans="1:19">
      <c r="A260" s="67">
        <v>220</v>
      </c>
      <c r="B260" s="74" t="s">
        <v>235</v>
      </c>
      <c r="C260" s="71">
        <v>675</v>
      </c>
      <c r="D260" s="125" t="s">
        <v>366</v>
      </c>
      <c r="G260" s="61">
        <v>579</v>
      </c>
      <c r="H260" s="61">
        <f t="shared" si="30"/>
        <v>-96</v>
      </c>
      <c r="I260" s="62">
        <f t="shared" si="31"/>
        <v>-0.14222222222222222</v>
      </c>
      <c r="K260" s="61">
        <v>463.2</v>
      </c>
      <c r="L260" s="61">
        <f t="shared" si="32"/>
        <v>-211.8</v>
      </c>
      <c r="M260" s="62">
        <f t="shared" si="33"/>
        <v>-0.31377777777777782</v>
      </c>
      <c r="O260" s="61">
        <v>434.25</v>
      </c>
      <c r="P260" s="61">
        <f t="shared" si="34"/>
        <v>-240.75</v>
      </c>
      <c r="Q260" s="62">
        <f t="shared" si="35"/>
        <v>-0.35666666666666669</v>
      </c>
      <c r="S260" s="71">
        <v>1202</v>
      </c>
    </row>
    <row r="261" spans="1:19">
      <c r="A261" s="67">
        <v>221</v>
      </c>
      <c r="B261" s="74" t="s">
        <v>235</v>
      </c>
      <c r="C261" s="71">
        <v>8092</v>
      </c>
      <c r="D261" s="125" t="s">
        <v>365</v>
      </c>
      <c r="G261" s="61">
        <v>5390</v>
      </c>
      <c r="H261" s="61">
        <f t="shared" si="30"/>
        <v>-2702</v>
      </c>
      <c r="I261" s="62">
        <f t="shared" si="31"/>
        <v>-0.33391003460207613</v>
      </c>
      <c r="K261" s="61">
        <v>4312</v>
      </c>
      <c r="L261" s="61">
        <f t="shared" si="32"/>
        <v>-3780</v>
      </c>
      <c r="M261" s="62">
        <f t="shared" si="33"/>
        <v>-0.4671280276816609</v>
      </c>
      <c r="O261" s="61">
        <v>4042.5</v>
      </c>
      <c r="P261" s="61">
        <f t="shared" si="34"/>
        <v>-4049.5</v>
      </c>
      <c r="Q261" s="62">
        <f t="shared" si="35"/>
        <v>-0.50043252595155707</v>
      </c>
      <c r="S261" s="71">
        <v>547</v>
      </c>
    </row>
    <row r="262" spans="1:19">
      <c r="A262" s="67">
        <v>222</v>
      </c>
      <c r="B262" s="74" t="s">
        <v>236</v>
      </c>
      <c r="C262" s="71">
        <v>495</v>
      </c>
      <c r="D262" s="125" t="s">
        <v>366</v>
      </c>
      <c r="G262" s="61">
        <v>499</v>
      </c>
      <c r="H262" s="61">
        <f t="shared" si="30"/>
        <v>4</v>
      </c>
      <c r="I262" s="62">
        <f t="shared" si="31"/>
        <v>8.0808080808080808E-3</v>
      </c>
      <c r="K262" s="61">
        <v>399.2</v>
      </c>
      <c r="L262" s="61">
        <f t="shared" si="32"/>
        <v>-95.800000000000011</v>
      </c>
      <c r="M262" s="62">
        <f t="shared" si="33"/>
        <v>-0.19353535353535356</v>
      </c>
      <c r="O262" s="61">
        <v>374.25</v>
      </c>
      <c r="P262" s="61">
        <f t="shared" si="34"/>
        <v>-120.75</v>
      </c>
      <c r="Q262" s="62">
        <f t="shared" si="35"/>
        <v>-0.24393939393939393</v>
      </c>
      <c r="S262" s="71">
        <v>552</v>
      </c>
    </row>
    <row r="263" spans="1:19">
      <c r="A263" s="67">
        <v>223</v>
      </c>
      <c r="B263" s="74" t="s">
        <v>236</v>
      </c>
      <c r="C263" s="71">
        <v>5950</v>
      </c>
      <c r="D263" s="125" t="s">
        <v>365</v>
      </c>
      <c r="G263" s="61">
        <v>5390</v>
      </c>
      <c r="H263" s="61">
        <f t="shared" si="30"/>
        <v>-560</v>
      </c>
      <c r="I263" s="62">
        <f t="shared" si="31"/>
        <v>-9.4117647058823528E-2</v>
      </c>
      <c r="K263" s="61">
        <v>4312</v>
      </c>
      <c r="L263" s="61">
        <f t="shared" si="32"/>
        <v>-1638</v>
      </c>
      <c r="M263" s="62">
        <f t="shared" si="33"/>
        <v>-0.2752941176470588</v>
      </c>
      <c r="O263" s="61">
        <v>4042.5</v>
      </c>
      <c r="P263" s="61">
        <f t="shared" si="34"/>
        <v>-1907.5</v>
      </c>
      <c r="Q263" s="62">
        <f t="shared" si="35"/>
        <v>-0.32058823529411767</v>
      </c>
      <c r="S263" s="71">
        <v>722</v>
      </c>
    </row>
    <row r="264" spans="1:19">
      <c r="A264" s="67">
        <v>224</v>
      </c>
      <c r="B264" s="74" t="s">
        <v>237</v>
      </c>
      <c r="C264" s="71">
        <v>545</v>
      </c>
      <c r="D264" s="125" t="s">
        <v>366</v>
      </c>
      <c r="G264" s="61">
        <v>607</v>
      </c>
      <c r="H264" s="61">
        <f t="shared" si="30"/>
        <v>62</v>
      </c>
      <c r="I264" s="62">
        <f t="shared" si="31"/>
        <v>0.11376146788990826</v>
      </c>
      <c r="K264" s="61">
        <v>485.6</v>
      </c>
      <c r="L264" s="61">
        <f t="shared" si="32"/>
        <v>-59.399999999999977</v>
      </c>
      <c r="M264" s="62">
        <f t="shared" si="33"/>
        <v>-0.10899082568807335</v>
      </c>
      <c r="O264" s="61">
        <v>455.25</v>
      </c>
      <c r="P264" s="61">
        <f t="shared" si="34"/>
        <v>-89.75</v>
      </c>
      <c r="Q264" s="62">
        <f t="shared" si="35"/>
        <v>-0.1646788990825688</v>
      </c>
      <c r="S264" s="71">
        <v>1720</v>
      </c>
    </row>
    <row r="265" spans="1:19">
      <c r="A265" s="67">
        <v>225</v>
      </c>
      <c r="B265" s="74" t="s">
        <v>237</v>
      </c>
      <c r="C265" s="71">
        <v>6545</v>
      </c>
      <c r="D265" s="125" t="s">
        <v>365</v>
      </c>
      <c r="G265" s="61">
        <v>5389</v>
      </c>
      <c r="H265" s="61">
        <f t="shared" si="30"/>
        <v>-1156</v>
      </c>
      <c r="I265" s="62">
        <f t="shared" si="31"/>
        <v>-0.17662337662337663</v>
      </c>
      <c r="K265" s="61">
        <v>4311.2</v>
      </c>
      <c r="L265" s="61">
        <f t="shared" si="32"/>
        <v>-2233.8000000000002</v>
      </c>
      <c r="M265" s="62">
        <f t="shared" si="33"/>
        <v>-0.34129870129870132</v>
      </c>
      <c r="O265" s="61">
        <v>4041.75</v>
      </c>
      <c r="P265" s="61">
        <f t="shared" si="34"/>
        <v>-2503.25</v>
      </c>
      <c r="Q265" s="62">
        <f t="shared" si="35"/>
        <v>-0.38246753246753246</v>
      </c>
      <c r="S265" s="71">
        <v>10149</v>
      </c>
    </row>
    <row r="266" spans="1:19">
      <c r="A266" s="67">
        <v>226</v>
      </c>
      <c r="B266" s="74" t="s">
        <v>238</v>
      </c>
      <c r="C266" s="71">
        <v>745</v>
      </c>
      <c r="D266" s="125" t="s">
        <v>366</v>
      </c>
      <c r="G266" s="61">
        <v>679</v>
      </c>
      <c r="H266" s="61">
        <f t="shared" si="30"/>
        <v>-66</v>
      </c>
      <c r="I266" s="62">
        <f t="shared" si="31"/>
        <v>-8.859060402684564E-2</v>
      </c>
      <c r="K266" s="61">
        <v>543.20000000000005</v>
      </c>
      <c r="L266" s="61">
        <f t="shared" si="32"/>
        <v>-201.79999999999995</v>
      </c>
      <c r="M266" s="62">
        <f t="shared" si="33"/>
        <v>-0.27087248322147645</v>
      </c>
      <c r="O266" s="61">
        <v>509.25</v>
      </c>
      <c r="P266" s="61">
        <f t="shared" si="34"/>
        <v>-235.75</v>
      </c>
      <c r="Q266" s="62">
        <f t="shared" si="35"/>
        <v>-0.31644295302013425</v>
      </c>
      <c r="S266" s="71">
        <v>5117</v>
      </c>
    </row>
    <row r="267" spans="1:19">
      <c r="A267" s="67">
        <v>227</v>
      </c>
      <c r="B267" s="74" t="s">
        <v>238</v>
      </c>
      <c r="C267" s="71">
        <v>8925</v>
      </c>
      <c r="D267" s="125" t="s">
        <v>365</v>
      </c>
      <c r="G267" s="61">
        <v>4620</v>
      </c>
      <c r="H267" s="61">
        <f t="shared" si="30"/>
        <v>-4305</v>
      </c>
      <c r="I267" s="62">
        <f t="shared" si="31"/>
        <v>-0.4823529411764706</v>
      </c>
      <c r="K267" s="61">
        <v>3696</v>
      </c>
      <c r="L267" s="61">
        <f t="shared" si="32"/>
        <v>-5229</v>
      </c>
      <c r="M267" s="62">
        <f t="shared" si="33"/>
        <v>-0.58588235294117652</v>
      </c>
      <c r="O267" s="61">
        <v>3465</v>
      </c>
      <c r="P267" s="61">
        <f t="shared" si="34"/>
        <v>-5460</v>
      </c>
      <c r="Q267" s="62">
        <f t="shared" si="35"/>
        <v>-0.61176470588235299</v>
      </c>
      <c r="S267" s="71">
        <v>1093</v>
      </c>
    </row>
    <row r="268" spans="1:19">
      <c r="A268" s="67">
        <v>228</v>
      </c>
      <c r="B268" s="74" t="s">
        <v>239</v>
      </c>
      <c r="C268" s="71">
        <v>675</v>
      </c>
      <c r="D268" s="125" t="s">
        <v>366</v>
      </c>
      <c r="G268" s="61">
        <v>495</v>
      </c>
      <c r="H268" s="61">
        <f t="shared" si="30"/>
        <v>-180</v>
      </c>
      <c r="I268" s="62">
        <f t="shared" si="31"/>
        <v>-0.26666666666666666</v>
      </c>
      <c r="K268" s="61">
        <v>396</v>
      </c>
      <c r="L268" s="61">
        <f t="shared" si="32"/>
        <v>-279</v>
      </c>
      <c r="M268" s="62">
        <f t="shared" si="33"/>
        <v>-0.41333333333333333</v>
      </c>
      <c r="O268" s="61">
        <v>371.25</v>
      </c>
      <c r="P268" s="61">
        <f t="shared" si="34"/>
        <v>-303.75</v>
      </c>
      <c r="Q268" s="62">
        <f t="shared" si="35"/>
        <v>-0.45</v>
      </c>
      <c r="S268" s="71">
        <v>874</v>
      </c>
    </row>
    <row r="269" spans="1:19">
      <c r="A269" s="67">
        <v>229</v>
      </c>
      <c r="B269" s="74" t="s">
        <v>239</v>
      </c>
      <c r="C269" s="71">
        <v>8090</v>
      </c>
      <c r="D269" s="125" t="s">
        <v>365</v>
      </c>
      <c r="G269" s="61">
        <v>3851</v>
      </c>
      <c r="H269" s="61">
        <f t="shared" si="30"/>
        <v>-4239</v>
      </c>
      <c r="I269" s="62">
        <f t="shared" si="31"/>
        <v>-0.52398022249690979</v>
      </c>
      <c r="K269" s="61">
        <v>3080.8</v>
      </c>
      <c r="L269" s="61">
        <f t="shared" si="32"/>
        <v>-5009.2</v>
      </c>
      <c r="M269" s="62">
        <f t="shared" si="33"/>
        <v>-0.61918417799752778</v>
      </c>
      <c r="O269" s="61">
        <v>2888.25</v>
      </c>
      <c r="P269" s="61">
        <f t="shared" si="34"/>
        <v>-5201.75</v>
      </c>
      <c r="Q269" s="62">
        <f t="shared" si="35"/>
        <v>-0.64298516687268237</v>
      </c>
      <c r="S269" s="71">
        <v>547</v>
      </c>
    </row>
    <row r="270" spans="1:19">
      <c r="A270" s="67">
        <v>230</v>
      </c>
      <c r="B270" s="74" t="s">
        <v>240</v>
      </c>
      <c r="C270" s="71">
        <v>57120</v>
      </c>
      <c r="D270" s="125" t="s">
        <v>365</v>
      </c>
      <c r="G270" s="61">
        <v>5343</v>
      </c>
      <c r="H270" s="61">
        <f t="shared" si="30"/>
        <v>-51777</v>
      </c>
      <c r="I270" s="62">
        <f t="shared" si="31"/>
        <v>-0.90646008403361344</v>
      </c>
      <c r="K270" s="61">
        <v>4274.3999999999996</v>
      </c>
      <c r="L270" s="61">
        <f t="shared" si="32"/>
        <v>-52845.599999999999</v>
      </c>
      <c r="M270" s="62">
        <f t="shared" si="33"/>
        <v>-0.92516806722689071</v>
      </c>
      <c r="O270" s="61">
        <v>4007.25</v>
      </c>
      <c r="P270" s="61">
        <f t="shared" si="34"/>
        <v>-53112.75</v>
      </c>
      <c r="Q270" s="62">
        <f t="shared" si="35"/>
        <v>-0.92984506302521008</v>
      </c>
      <c r="S270" s="71">
        <v>1783</v>
      </c>
    </row>
    <row r="271" spans="1:19">
      <c r="A271" s="67">
        <v>231</v>
      </c>
      <c r="B271" s="74" t="s">
        <v>241</v>
      </c>
      <c r="C271" s="71">
        <v>1590</v>
      </c>
      <c r="D271" s="125" t="s">
        <v>366</v>
      </c>
      <c r="G271" s="61">
        <v>911</v>
      </c>
      <c r="H271" s="61">
        <f t="shared" si="30"/>
        <v>-679</v>
      </c>
      <c r="I271" s="62">
        <f t="shared" si="31"/>
        <v>-0.42704402515723272</v>
      </c>
      <c r="K271" s="61">
        <v>728.8</v>
      </c>
      <c r="L271" s="61">
        <f t="shared" si="32"/>
        <v>-861.2</v>
      </c>
      <c r="M271" s="62">
        <f t="shared" si="33"/>
        <v>-0.54163522012578624</v>
      </c>
      <c r="O271" s="61">
        <v>683.25</v>
      </c>
      <c r="P271" s="61">
        <f t="shared" si="34"/>
        <v>-906.75</v>
      </c>
      <c r="Q271" s="62">
        <f t="shared" si="35"/>
        <v>-0.57028301886792454</v>
      </c>
      <c r="S271" s="71">
        <v>1365</v>
      </c>
    </row>
    <row r="272" spans="1:19">
      <c r="A272" s="67">
        <v>232</v>
      </c>
      <c r="B272" s="74" t="s">
        <v>241</v>
      </c>
      <c r="C272" s="71">
        <v>19040</v>
      </c>
      <c r="D272" s="125" t="s">
        <v>365</v>
      </c>
      <c r="G272" s="61">
        <v>9932</v>
      </c>
      <c r="H272" s="61">
        <f t="shared" si="30"/>
        <v>-9108</v>
      </c>
      <c r="I272" s="62">
        <f t="shared" si="31"/>
        <v>-0.47836134453781515</v>
      </c>
      <c r="K272" s="61">
        <v>7945.6</v>
      </c>
      <c r="L272" s="61">
        <f t="shared" si="32"/>
        <v>-11094.4</v>
      </c>
      <c r="M272" s="62">
        <f t="shared" si="33"/>
        <v>-0.58268907563025207</v>
      </c>
      <c r="O272" s="61">
        <v>7449</v>
      </c>
      <c r="P272" s="61">
        <f t="shared" si="34"/>
        <v>-11591</v>
      </c>
      <c r="Q272" s="62">
        <f t="shared" si="35"/>
        <v>-0.60877100840336129</v>
      </c>
      <c r="S272" s="71">
        <v>2274</v>
      </c>
    </row>
    <row r="273" spans="1:19">
      <c r="A273" s="67">
        <v>233</v>
      </c>
      <c r="B273" s="74" t="s">
        <v>242</v>
      </c>
      <c r="C273" s="71">
        <v>18840</v>
      </c>
      <c r="D273" s="125" t="s">
        <v>366</v>
      </c>
      <c r="G273" s="61">
        <v>4236</v>
      </c>
      <c r="H273" s="61">
        <f t="shared" si="30"/>
        <v>-14604</v>
      </c>
      <c r="I273" s="62">
        <f t="shared" si="31"/>
        <v>-0.77515923566878986</v>
      </c>
      <c r="K273" s="61">
        <v>3388.8</v>
      </c>
      <c r="L273" s="61">
        <f t="shared" si="32"/>
        <v>-15451.2</v>
      </c>
      <c r="M273" s="62">
        <f t="shared" si="33"/>
        <v>-0.82012738853503186</v>
      </c>
      <c r="O273" s="61">
        <v>3177</v>
      </c>
      <c r="P273" s="61">
        <f t="shared" si="34"/>
        <v>-15663</v>
      </c>
      <c r="Q273" s="62">
        <f t="shared" si="35"/>
        <v>-0.83136942675159231</v>
      </c>
      <c r="S273" s="71">
        <v>328</v>
      </c>
    </row>
    <row r="274" spans="1:19">
      <c r="A274" s="67">
        <v>234</v>
      </c>
      <c r="B274" s="74" t="s">
        <v>242</v>
      </c>
      <c r="C274" s="71">
        <v>226100</v>
      </c>
      <c r="D274" s="125" t="s">
        <v>365</v>
      </c>
      <c r="G274" s="61">
        <v>46198</v>
      </c>
      <c r="H274" s="61">
        <f t="shared" si="30"/>
        <v>-179902</v>
      </c>
      <c r="I274" s="62">
        <f t="shared" si="31"/>
        <v>-0.79567448031844312</v>
      </c>
      <c r="K274" s="61">
        <v>36958.400000000001</v>
      </c>
      <c r="L274" s="61">
        <f t="shared" si="32"/>
        <v>-189141.6</v>
      </c>
      <c r="M274" s="62">
        <f t="shared" si="33"/>
        <v>-0.83653958425475461</v>
      </c>
      <c r="O274" s="61">
        <v>34648.5</v>
      </c>
      <c r="P274" s="61">
        <f t="shared" si="34"/>
        <v>-191451.5</v>
      </c>
      <c r="Q274" s="62">
        <f t="shared" si="35"/>
        <v>-0.84675586023883243</v>
      </c>
      <c r="S274" s="71">
        <v>1529</v>
      </c>
    </row>
    <row r="275" spans="1:19">
      <c r="A275" s="67">
        <v>235</v>
      </c>
      <c r="B275" s="74" t="s">
        <v>243</v>
      </c>
      <c r="C275" s="71">
        <f>+C276/12</f>
        <v>8925</v>
      </c>
      <c r="D275" s="125" t="s">
        <v>366</v>
      </c>
      <c r="G275" s="61">
        <v>4378</v>
      </c>
      <c r="H275" s="61">
        <f t="shared" si="30"/>
        <v>-4547</v>
      </c>
      <c r="I275" s="62">
        <f t="shared" si="31"/>
        <v>-0.50946778711484597</v>
      </c>
      <c r="K275" s="61">
        <v>3502.4</v>
      </c>
      <c r="L275" s="61">
        <f t="shared" si="32"/>
        <v>-5422.6</v>
      </c>
      <c r="M275" s="62">
        <f t="shared" si="33"/>
        <v>-0.6075742296918768</v>
      </c>
      <c r="O275" s="61">
        <v>3283.5</v>
      </c>
      <c r="P275" s="61">
        <f t="shared" si="34"/>
        <v>-5641.5</v>
      </c>
      <c r="Q275" s="62">
        <f t="shared" si="35"/>
        <v>-0.63210084033613445</v>
      </c>
      <c r="S275" s="71">
        <v>613</v>
      </c>
    </row>
    <row r="276" spans="1:19">
      <c r="A276" s="67">
        <v>236</v>
      </c>
      <c r="B276" s="74" t="s">
        <v>243</v>
      </c>
      <c r="C276" s="71">
        <v>107100</v>
      </c>
      <c r="D276" s="125" t="s">
        <v>365</v>
      </c>
      <c r="G276" s="61">
        <v>4911</v>
      </c>
      <c r="H276" s="61">
        <f t="shared" si="30"/>
        <v>-102189</v>
      </c>
      <c r="I276" s="62">
        <f t="shared" si="31"/>
        <v>-0.95414565826330533</v>
      </c>
      <c r="K276" s="61">
        <v>3928.8</v>
      </c>
      <c r="L276" s="61">
        <f t="shared" si="32"/>
        <v>-103171.2</v>
      </c>
      <c r="M276" s="62">
        <f t="shared" si="33"/>
        <v>-0.96331652661064426</v>
      </c>
      <c r="O276" s="61">
        <v>3683.25</v>
      </c>
      <c r="P276" s="61">
        <f t="shared" si="34"/>
        <v>-103416.75</v>
      </c>
      <c r="Q276" s="62">
        <f t="shared" si="35"/>
        <v>-0.96560924369747902</v>
      </c>
      <c r="S276" s="71">
        <v>1376</v>
      </c>
    </row>
    <row r="277" spans="1:19">
      <c r="A277" s="67">
        <v>237</v>
      </c>
      <c r="B277" s="74" t="s">
        <v>244</v>
      </c>
      <c r="C277" s="71">
        <v>9520</v>
      </c>
      <c r="D277" s="125" t="s">
        <v>365</v>
      </c>
      <c r="G277" s="61">
        <v>575</v>
      </c>
      <c r="H277" s="61">
        <f t="shared" si="30"/>
        <v>-8945</v>
      </c>
      <c r="I277" s="62">
        <f t="shared" si="31"/>
        <v>-0.93960084033613445</v>
      </c>
      <c r="K277" s="61">
        <v>460</v>
      </c>
      <c r="L277" s="61">
        <f t="shared" si="32"/>
        <v>-9060</v>
      </c>
      <c r="M277" s="62">
        <f t="shared" si="33"/>
        <v>-0.95168067226890751</v>
      </c>
      <c r="O277" s="61">
        <v>431.25</v>
      </c>
      <c r="P277" s="61">
        <f t="shared" si="34"/>
        <v>-9088.75</v>
      </c>
      <c r="Q277" s="62">
        <f t="shared" si="35"/>
        <v>-0.95470063025210083</v>
      </c>
      <c r="S277" s="71">
        <v>1580</v>
      </c>
    </row>
    <row r="278" spans="1:19">
      <c r="A278" s="67">
        <v>238</v>
      </c>
      <c r="B278" s="74" t="s">
        <v>245</v>
      </c>
      <c r="C278" s="71">
        <v>10115</v>
      </c>
      <c r="D278" s="125" t="s">
        <v>365</v>
      </c>
      <c r="G278" s="61">
        <v>647</v>
      </c>
      <c r="H278" s="61">
        <f t="shared" si="30"/>
        <v>-9468</v>
      </c>
      <c r="I278" s="62">
        <f t="shared" si="31"/>
        <v>-0.93603559070687103</v>
      </c>
      <c r="K278" s="61">
        <v>517.6</v>
      </c>
      <c r="L278" s="61">
        <f t="shared" si="32"/>
        <v>-9597.4</v>
      </c>
      <c r="M278" s="62">
        <f t="shared" si="33"/>
        <v>-0.94882847256549674</v>
      </c>
      <c r="O278" s="61">
        <v>485.25</v>
      </c>
      <c r="P278" s="61">
        <f t="shared" si="34"/>
        <v>-9629.75</v>
      </c>
      <c r="Q278" s="62">
        <f t="shared" si="35"/>
        <v>-0.95202669303015319</v>
      </c>
      <c r="S278" s="71">
        <v>867</v>
      </c>
    </row>
    <row r="279" spans="1:19">
      <c r="A279" s="67">
        <v>239</v>
      </c>
      <c r="B279" s="74" t="s">
        <v>246</v>
      </c>
      <c r="C279" s="71">
        <v>1490</v>
      </c>
      <c r="D279" s="125" t="s">
        <v>366</v>
      </c>
      <c r="G279" s="61">
        <v>692</v>
      </c>
      <c r="H279" s="61">
        <f t="shared" si="30"/>
        <v>-798</v>
      </c>
      <c r="I279" s="62">
        <f t="shared" si="31"/>
        <v>-0.53557046979865774</v>
      </c>
      <c r="K279" s="61">
        <v>553.6</v>
      </c>
      <c r="L279" s="61">
        <f t="shared" si="32"/>
        <v>-936.4</v>
      </c>
      <c r="M279" s="62">
        <f t="shared" si="33"/>
        <v>-0.62845637583892611</v>
      </c>
      <c r="O279" s="61">
        <v>519</v>
      </c>
      <c r="P279" s="61">
        <f t="shared" si="34"/>
        <v>-971</v>
      </c>
      <c r="Q279" s="62">
        <f t="shared" si="35"/>
        <v>-0.65167785234899334</v>
      </c>
      <c r="S279" s="71">
        <v>1638</v>
      </c>
    </row>
    <row r="280" spans="1:19">
      <c r="A280" s="67">
        <v>240</v>
      </c>
      <c r="B280" s="74" t="s">
        <v>246</v>
      </c>
      <c r="C280" s="71">
        <v>17850</v>
      </c>
      <c r="D280" s="125" t="s">
        <v>365</v>
      </c>
      <c r="G280" s="61">
        <v>862</v>
      </c>
      <c r="H280" s="61">
        <f t="shared" si="30"/>
        <v>-16988</v>
      </c>
      <c r="I280" s="62">
        <f t="shared" si="31"/>
        <v>-0.95170868347338933</v>
      </c>
      <c r="K280" s="61">
        <v>689.6</v>
      </c>
      <c r="L280" s="61">
        <f t="shared" si="32"/>
        <v>-17160.400000000001</v>
      </c>
      <c r="M280" s="62">
        <f t="shared" si="33"/>
        <v>-0.9613669467787116</v>
      </c>
      <c r="O280" s="61">
        <v>646.5</v>
      </c>
      <c r="P280" s="61">
        <f t="shared" si="34"/>
        <v>-17203.5</v>
      </c>
      <c r="Q280" s="62">
        <f t="shared" si="35"/>
        <v>-0.96378151260504197</v>
      </c>
      <c r="S280" s="71">
        <v>8367</v>
      </c>
    </row>
    <row r="281" spans="1:19" ht="13.5" customHeight="1">
      <c r="A281" s="67">
        <v>241</v>
      </c>
      <c r="B281" s="74" t="s">
        <v>247</v>
      </c>
      <c r="C281" s="71">
        <v>17000</v>
      </c>
      <c r="D281" s="125" t="s">
        <v>365</v>
      </c>
      <c r="G281" s="61">
        <v>6913</v>
      </c>
      <c r="H281" s="61">
        <f t="shared" si="30"/>
        <v>-10087</v>
      </c>
      <c r="I281" s="62">
        <f t="shared" si="31"/>
        <v>-0.59335294117647064</v>
      </c>
      <c r="K281" s="61">
        <v>5530.4</v>
      </c>
      <c r="L281" s="61">
        <f t="shared" si="32"/>
        <v>-11469.6</v>
      </c>
      <c r="M281" s="62">
        <f t="shared" si="33"/>
        <v>-0.67468235294117651</v>
      </c>
      <c r="O281" s="61">
        <v>5184.75</v>
      </c>
      <c r="P281" s="61">
        <f t="shared" si="34"/>
        <v>-11815.25</v>
      </c>
      <c r="Q281" s="62">
        <f t="shared" si="35"/>
        <v>-0.69501470588235292</v>
      </c>
      <c r="S281" s="71">
        <v>9549</v>
      </c>
    </row>
    <row r="282" spans="1:19">
      <c r="A282" s="67">
        <v>242</v>
      </c>
      <c r="B282" s="74" t="s">
        <v>248</v>
      </c>
      <c r="C282" s="71">
        <v>12194</v>
      </c>
      <c r="D282" s="125" t="s">
        <v>365</v>
      </c>
      <c r="G282" s="61">
        <v>447</v>
      </c>
      <c r="H282" s="61">
        <f t="shared" si="30"/>
        <v>-11747</v>
      </c>
      <c r="I282" s="62">
        <f t="shared" si="31"/>
        <v>-0.96334262752173205</v>
      </c>
      <c r="K282" s="61">
        <v>357.6</v>
      </c>
      <c r="L282" s="61">
        <f t="shared" si="32"/>
        <v>-11836.4</v>
      </c>
      <c r="M282" s="62">
        <f t="shared" si="33"/>
        <v>-0.97067410201738558</v>
      </c>
      <c r="O282" s="61">
        <v>335.25</v>
      </c>
      <c r="P282" s="61">
        <f t="shared" si="34"/>
        <v>-11858.75</v>
      </c>
      <c r="Q282" s="62">
        <f t="shared" si="35"/>
        <v>-0.97250697064129898</v>
      </c>
      <c r="S282" s="71">
        <v>21369</v>
      </c>
    </row>
    <row r="283" spans="1:19">
      <c r="A283" s="67">
        <v>243</v>
      </c>
      <c r="B283" s="74" t="s">
        <v>249</v>
      </c>
      <c r="C283" s="71">
        <v>2618</v>
      </c>
      <c r="D283" s="125" t="s">
        <v>365</v>
      </c>
      <c r="G283" s="61">
        <v>114</v>
      </c>
      <c r="H283" s="61">
        <f t="shared" si="30"/>
        <v>-2504</v>
      </c>
      <c r="I283" s="62">
        <f t="shared" si="31"/>
        <v>-0.95645530939648582</v>
      </c>
      <c r="K283" s="61">
        <v>91.2</v>
      </c>
      <c r="L283" s="61">
        <f t="shared" si="32"/>
        <v>-2526.8000000000002</v>
      </c>
      <c r="M283" s="62">
        <f t="shared" si="33"/>
        <v>-0.96516424751718877</v>
      </c>
      <c r="O283" s="61">
        <v>85.5</v>
      </c>
      <c r="P283" s="61">
        <f t="shared" si="34"/>
        <v>-2532.5</v>
      </c>
      <c r="Q283" s="62">
        <f t="shared" si="35"/>
        <v>-0.96734148204736436</v>
      </c>
      <c r="S283" s="71">
        <v>21388</v>
      </c>
    </row>
    <row r="284" spans="1:19">
      <c r="A284" s="67">
        <v>244</v>
      </c>
      <c r="B284" s="74" t="s">
        <v>250</v>
      </c>
      <c r="C284" s="71">
        <v>23205</v>
      </c>
      <c r="D284" s="125" t="s">
        <v>365</v>
      </c>
      <c r="G284" s="61">
        <v>5882</v>
      </c>
      <c r="H284" s="61">
        <f t="shared" si="30"/>
        <v>-17323</v>
      </c>
      <c r="I284" s="62">
        <f t="shared" si="31"/>
        <v>-0.74652014652014653</v>
      </c>
      <c r="K284" s="61">
        <v>4705.6000000000004</v>
      </c>
      <c r="L284" s="61">
        <f t="shared" si="32"/>
        <v>-18499.400000000001</v>
      </c>
      <c r="M284" s="62">
        <f t="shared" si="33"/>
        <v>-0.79721611721611729</v>
      </c>
      <c r="O284" s="61">
        <v>4411.5</v>
      </c>
      <c r="P284" s="61">
        <f t="shared" si="34"/>
        <v>-18793.5</v>
      </c>
      <c r="Q284" s="62">
        <f t="shared" si="35"/>
        <v>-0.8098901098901099</v>
      </c>
      <c r="S284" s="71">
        <v>3566</v>
      </c>
    </row>
    <row r="285" spans="1:19">
      <c r="A285" s="67">
        <v>245</v>
      </c>
      <c r="B285" s="74" t="s">
        <v>251</v>
      </c>
      <c r="C285" s="71">
        <v>15700</v>
      </c>
      <c r="D285" s="125" t="s">
        <v>365</v>
      </c>
      <c r="G285" s="61">
        <v>7700</v>
      </c>
      <c r="H285" s="61">
        <f t="shared" si="30"/>
        <v>-8000</v>
      </c>
      <c r="I285" s="62">
        <f t="shared" si="31"/>
        <v>-0.50955414012738853</v>
      </c>
      <c r="K285" s="61">
        <v>6160</v>
      </c>
      <c r="L285" s="61">
        <f t="shared" si="32"/>
        <v>-9540</v>
      </c>
      <c r="M285" s="62">
        <f t="shared" si="33"/>
        <v>-0.6076433121019108</v>
      </c>
      <c r="O285" s="61">
        <v>5775</v>
      </c>
      <c r="P285" s="61">
        <f t="shared" si="34"/>
        <v>-9925</v>
      </c>
      <c r="Q285" s="62">
        <f t="shared" si="35"/>
        <v>-0.63216560509554143</v>
      </c>
      <c r="S285" s="71">
        <v>6276</v>
      </c>
    </row>
    <row r="286" spans="1:19">
      <c r="A286" s="67">
        <v>246</v>
      </c>
      <c r="B286" s="74" t="s">
        <v>252</v>
      </c>
      <c r="C286" s="71">
        <v>25585</v>
      </c>
      <c r="D286" s="125" t="s">
        <v>365</v>
      </c>
      <c r="G286" s="61">
        <v>3966</v>
      </c>
      <c r="H286" s="61">
        <f t="shared" si="30"/>
        <v>-21619</v>
      </c>
      <c r="I286" s="62">
        <f t="shared" si="31"/>
        <v>-0.84498729724447919</v>
      </c>
      <c r="K286" s="61">
        <v>3172.8</v>
      </c>
      <c r="L286" s="61">
        <f t="shared" si="32"/>
        <v>-22412.2</v>
      </c>
      <c r="M286" s="62">
        <f t="shared" si="33"/>
        <v>-0.87598983779558337</v>
      </c>
      <c r="O286" s="61">
        <v>2974.5</v>
      </c>
      <c r="P286" s="61">
        <f t="shared" si="34"/>
        <v>-22610.5</v>
      </c>
      <c r="Q286" s="62">
        <f t="shared" si="35"/>
        <v>-0.88374047293335944</v>
      </c>
      <c r="S286" s="71">
        <v>8185</v>
      </c>
    </row>
    <row r="287" spans="1:19">
      <c r="A287" s="67">
        <v>247</v>
      </c>
      <c r="B287" s="74" t="s">
        <v>253</v>
      </c>
      <c r="C287" s="71">
        <v>26775</v>
      </c>
      <c r="D287" s="125" t="s">
        <v>365</v>
      </c>
      <c r="G287" s="61">
        <v>7700</v>
      </c>
      <c r="H287" s="61">
        <f t="shared" si="30"/>
        <v>-19075</v>
      </c>
      <c r="I287" s="62">
        <f t="shared" si="31"/>
        <v>-0.71241830065359479</v>
      </c>
      <c r="K287" s="61">
        <v>6160</v>
      </c>
      <c r="L287" s="61">
        <f t="shared" si="32"/>
        <v>-20615</v>
      </c>
      <c r="M287" s="62">
        <f t="shared" si="33"/>
        <v>-0.76993464052287586</v>
      </c>
      <c r="O287" s="61">
        <v>5775</v>
      </c>
      <c r="P287" s="61">
        <f t="shared" si="34"/>
        <v>-21000</v>
      </c>
      <c r="Q287" s="62">
        <f t="shared" si="35"/>
        <v>-0.78431372549019607</v>
      </c>
      <c r="S287" s="71">
        <v>12732</v>
      </c>
    </row>
    <row r="288" spans="1:19">
      <c r="A288" s="67">
        <v>248</v>
      </c>
      <c r="B288" s="74" t="s">
        <v>254</v>
      </c>
      <c r="C288" s="71">
        <v>415</v>
      </c>
      <c r="D288" s="125" t="s">
        <v>366</v>
      </c>
      <c r="G288" s="61">
        <v>436</v>
      </c>
      <c r="H288" s="61">
        <f t="shared" si="30"/>
        <v>21</v>
      </c>
      <c r="I288" s="62">
        <f t="shared" si="31"/>
        <v>5.0602409638554217E-2</v>
      </c>
      <c r="K288" s="61">
        <v>348.8</v>
      </c>
      <c r="L288" s="61">
        <f t="shared" si="32"/>
        <v>-66.199999999999989</v>
      </c>
      <c r="M288" s="62">
        <f t="shared" si="33"/>
        <v>-0.1595180722891566</v>
      </c>
      <c r="O288" s="61">
        <v>327</v>
      </c>
      <c r="P288" s="61">
        <f t="shared" si="34"/>
        <v>-88</v>
      </c>
      <c r="Q288" s="62">
        <f t="shared" si="35"/>
        <v>-0.21204819277108433</v>
      </c>
      <c r="S288" s="71">
        <v>14049</v>
      </c>
    </row>
    <row r="289" spans="1:19">
      <c r="A289" s="67">
        <v>249</v>
      </c>
      <c r="B289" s="74" t="s">
        <v>254</v>
      </c>
      <c r="C289" s="71">
        <v>4960</v>
      </c>
      <c r="D289" s="125" t="s">
        <v>365</v>
      </c>
      <c r="G289" s="61">
        <v>4237</v>
      </c>
      <c r="H289" s="61">
        <f t="shared" si="30"/>
        <v>-723</v>
      </c>
      <c r="I289" s="62">
        <f t="shared" si="31"/>
        <v>-0.14576612903225805</v>
      </c>
      <c r="K289" s="61">
        <v>3389.6</v>
      </c>
      <c r="L289" s="61">
        <f t="shared" si="32"/>
        <v>-1570.4</v>
      </c>
      <c r="M289" s="62">
        <f t="shared" si="33"/>
        <v>-0.31661290322580649</v>
      </c>
      <c r="O289" s="61">
        <v>3177.75</v>
      </c>
      <c r="P289" s="61">
        <f t="shared" si="34"/>
        <v>-1782.25</v>
      </c>
      <c r="Q289" s="62">
        <f t="shared" si="35"/>
        <v>-0.35932459677419354</v>
      </c>
      <c r="S289" s="71">
        <v>2729</v>
      </c>
    </row>
    <row r="290" spans="1:19">
      <c r="A290" s="67">
        <v>250</v>
      </c>
      <c r="B290" s="74" t="s">
        <v>255</v>
      </c>
      <c r="C290" s="71">
        <v>21100</v>
      </c>
      <c r="D290" s="125" t="s">
        <v>365</v>
      </c>
      <c r="G290" s="61">
        <v>147</v>
      </c>
      <c r="H290" s="61">
        <f t="shared" si="30"/>
        <v>-20953</v>
      </c>
      <c r="I290" s="62">
        <f t="shared" si="31"/>
        <v>-0.99303317535545021</v>
      </c>
      <c r="K290" s="61">
        <v>117.6</v>
      </c>
      <c r="L290" s="61">
        <f t="shared" si="32"/>
        <v>-20982.400000000001</v>
      </c>
      <c r="M290" s="62">
        <f t="shared" si="33"/>
        <v>-0.99442654028436028</v>
      </c>
      <c r="O290" s="61">
        <v>110.25</v>
      </c>
      <c r="P290" s="61">
        <f t="shared" si="34"/>
        <v>-20989.75</v>
      </c>
      <c r="Q290" s="62">
        <f t="shared" si="35"/>
        <v>-0.99477488151658766</v>
      </c>
      <c r="S290" s="71">
        <v>4366</v>
      </c>
    </row>
    <row r="291" spans="1:19">
      <c r="A291" s="67">
        <v>251</v>
      </c>
      <c r="B291" s="74" t="s">
        <v>256</v>
      </c>
      <c r="C291" s="71">
        <v>3100</v>
      </c>
      <c r="D291" s="125" t="s">
        <v>365</v>
      </c>
      <c r="G291" s="61">
        <v>165</v>
      </c>
      <c r="H291" s="61">
        <f t="shared" si="30"/>
        <v>-2935</v>
      </c>
      <c r="I291" s="62">
        <f t="shared" si="31"/>
        <v>-0.9467741935483871</v>
      </c>
      <c r="K291" s="61">
        <v>132</v>
      </c>
      <c r="L291" s="61">
        <f t="shared" si="32"/>
        <v>-2968</v>
      </c>
      <c r="M291" s="62">
        <f t="shared" si="33"/>
        <v>-0.95741935483870966</v>
      </c>
      <c r="O291" s="61">
        <v>123.75</v>
      </c>
      <c r="P291" s="61">
        <f t="shared" si="34"/>
        <v>-2976.25</v>
      </c>
      <c r="Q291" s="62">
        <f t="shared" si="35"/>
        <v>-0.96008064516129032</v>
      </c>
      <c r="S291" s="71">
        <v>8862</v>
      </c>
    </row>
    <row r="292" spans="1:19">
      <c r="A292" s="67">
        <v>252</v>
      </c>
      <c r="B292" s="74" t="s">
        <v>239</v>
      </c>
      <c r="C292" s="71">
        <v>730</v>
      </c>
      <c r="D292" s="125" t="s">
        <v>366</v>
      </c>
      <c r="G292" s="61">
        <v>367</v>
      </c>
      <c r="H292" s="61">
        <f t="shared" si="30"/>
        <v>-363</v>
      </c>
      <c r="I292" s="62">
        <f t="shared" si="31"/>
        <v>-0.49726027397260275</v>
      </c>
      <c r="K292" s="61">
        <v>293.60000000000002</v>
      </c>
      <c r="L292" s="61">
        <f t="shared" si="32"/>
        <v>-436.4</v>
      </c>
      <c r="M292" s="62">
        <f t="shared" si="33"/>
        <v>-0.59780821917808213</v>
      </c>
      <c r="O292" s="61">
        <v>275.25</v>
      </c>
      <c r="P292" s="61">
        <f t="shared" si="34"/>
        <v>-454.75</v>
      </c>
      <c r="Q292" s="62">
        <f t="shared" si="35"/>
        <v>-0.62294520547945209</v>
      </c>
      <c r="S292" s="71">
        <v>1582</v>
      </c>
    </row>
    <row r="293" spans="1:19">
      <c r="A293" s="67">
        <v>253</v>
      </c>
      <c r="B293" s="74" t="s">
        <v>239</v>
      </c>
      <c r="C293" s="71">
        <v>8780</v>
      </c>
      <c r="D293" s="125" t="s">
        <v>365</v>
      </c>
      <c r="G293" s="61">
        <v>626</v>
      </c>
      <c r="H293" s="61">
        <f t="shared" si="30"/>
        <v>-8154</v>
      </c>
      <c r="I293" s="62">
        <f t="shared" si="31"/>
        <v>-0.92870159453302958</v>
      </c>
      <c r="K293" s="61">
        <v>500.8</v>
      </c>
      <c r="L293" s="61">
        <f t="shared" si="32"/>
        <v>-8279.2000000000007</v>
      </c>
      <c r="M293" s="62">
        <f t="shared" si="33"/>
        <v>-0.94296127562642373</v>
      </c>
      <c r="O293" s="61">
        <v>469.5</v>
      </c>
      <c r="P293" s="61">
        <f t="shared" si="34"/>
        <v>-8310.5</v>
      </c>
      <c r="Q293" s="62">
        <f t="shared" si="35"/>
        <v>-0.94652619589977216</v>
      </c>
      <c r="S293" s="71">
        <v>1582</v>
      </c>
    </row>
    <row r="294" spans="1:19">
      <c r="A294" s="67">
        <v>254</v>
      </c>
      <c r="B294" s="74" t="s">
        <v>257</v>
      </c>
      <c r="C294" s="71">
        <v>2180</v>
      </c>
      <c r="D294" s="125" t="s">
        <v>366</v>
      </c>
      <c r="G294" s="61">
        <v>551</v>
      </c>
      <c r="H294" s="61">
        <f t="shared" si="30"/>
        <v>-1629</v>
      </c>
      <c r="I294" s="62">
        <f t="shared" si="31"/>
        <v>-0.74724770642201832</v>
      </c>
      <c r="K294" s="61">
        <v>440.8</v>
      </c>
      <c r="L294" s="61">
        <f t="shared" si="32"/>
        <v>-1739.2</v>
      </c>
      <c r="M294" s="62">
        <f t="shared" si="33"/>
        <v>-0.7977981651376147</v>
      </c>
      <c r="O294" s="61">
        <v>413.25</v>
      </c>
      <c r="P294" s="61">
        <f t="shared" si="34"/>
        <v>-1766.75</v>
      </c>
      <c r="Q294" s="62">
        <f t="shared" si="35"/>
        <v>-0.81043577981651371</v>
      </c>
      <c r="S294" s="71">
        <v>1582</v>
      </c>
    </row>
    <row r="295" spans="1:19">
      <c r="A295" s="67">
        <v>255</v>
      </c>
      <c r="B295" s="74" t="s">
        <v>257</v>
      </c>
      <c r="C295" s="71">
        <v>26180</v>
      </c>
      <c r="D295" s="125" t="s">
        <v>365</v>
      </c>
      <c r="G295" s="61">
        <v>551</v>
      </c>
      <c r="H295" s="61">
        <f t="shared" si="30"/>
        <v>-25629</v>
      </c>
      <c r="I295" s="62">
        <f t="shared" si="31"/>
        <v>-0.97895339954163485</v>
      </c>
      <c r="K295" s="61">
        <v>440.8</v>
      </c>
      <c r="L295" s="61">
        <f t="shared" si="32"/>
        <v>-25739.200000000001</v>
      </c>
      <c r="M295" s="62">
        <f t="shared" si="33"/>
        <v>-0.98316271963330792</v>
      </c>
      <c r="O295" s="61">
        <v>413.25</v>
      </c>
      <c r="P295" s="61">
        <f t="shared" si="34"/>
        <v>-25766.75</v>
      </c>
      <c r="Q295" s="62">
        <f t="shared" si="35"/>
        <v>-0.98421504965622608</v>
      </c>
      <c r="S295" s="71">
        <v>1582</v>
      </c>
    </row>
    <row r="296" spans="1:19">
      <c r="A296" s="67">
        <v>256</v>
      </c>
      <c r="B296" s="74" t="s">
        <v>258</v>
      </c>
      <c r="C296" s="71">
        <f>+C297/12</f>
        <v>14875</v>
      </c>
      <c r="D296" s="125" t="s">
        <v>366</v>
      </c>
      <c r="G296" s="61">
        <v>6405</v>
      </c>
      <c r="H296" s="61">
        <f t="shared" si="30"/>
        <v>-8470</v>
      </c>
      <c r="I296" s="62">
        <f t="shared" si="31"/>
        <v>-0.56941176470588239</v>
      </c>
      <c r="K296" s="61">
        <v>5124</v>
      </c>
      <c r="L296" s="61">
        <f t="shared" si="32"/>
        <v>-9751</v>
      </c>
      <c r="M296" s="62">
        <f t="shared" si="33"/>
        <v>-0.65552941176470592</v>
      </c>
      <c r="O296" s="61">
        <v>4803.75</v>
      </c>
      <c r="P296" s="61">
        <f t="shared" si="34"/>
        <v>-10071.25</v>
      </c>
      <c r="Q296" s="62">
        <f t="shared" si="35"/>
        <v>-0.67705882352941171</v>
      </c>
      <c r="S296" s="71">
        <v>2460</v>
      </c>
    </row>
    <row r="297" spans="1:19">
      <c r="A297" s="67">
        <v>257</v>
      </c>
      <c r="B297" s="74" t="s">
        <v>258</v>
      </c>
      <c r="C297" s="71">
        <v>178500</v>
      </c>
      <c r="D297" s="125" t="s">
        <v>365</v>
      </c>
      <c r="G297" s="61">
        <v>6561</v>
      </c>
      <c r="H297" s="61">
        <f t="shared" si="30"/>
        <v>-171939</v>
      </c>
      <c r="I297" s="62">
        <f t="shared" si="31"/>
        <v>-0.96324369747899163</v>
      </c>
      <c r="K297" s="61">
        <v>5248.8</v>
      </c>
      <c r="L297" s="61">
        <f t="shared" si="32"/>
        <v>-173251.20000000001</v>
      </c>
      <c r="M297" s="62">
        <f t="shared" si="33"/>
        <v>-0.9705949579831934</v>
      </c>
      <c r="O297" s="61">
        <v>4920.75</v>
      </c>
      <c r="P297" s="61">
        <f t="shared" si="34"/>
        <v>-173579.25</v>
      </c>
      <c r="Q297" s="62">
        <f t="shared" si="35"/>
        <v>-0.9724327731092437</v>
      </c>
      <c r="S297" s="71">
        <v>1529</v>
      </c>
    </row>
    <row r="298" spans="1:19">
      <c r="A298" s="67">
        <v>258</v>
      </c>
      <c r="B298" s="74" t="s">
        <v>242</v>
      </c>
      <c r="C298" s="71">
        <v>18840</v>
      </c>
      <c r="D298" s="125" t="s">
        <v>366</v>
      </c>
      <c r="G298" s="61">
        <v>4236</v>
      </c>
      <c r="H298" s="61">
        <f t="shared" si="30"/>
        <v>-14604</v>
      </c>
      <c r="I298" s="62">
        <f t="shared" si="31"/>
        <v>-0.77515923566878986</v>
      </c>
      <c r="K298" s="61">
        <v>3388.8</v>
      </c>
      <c r="L298" s="61">
        <f t="shared" si="32"/>
        <v>-15451.2</v>
      </c>
      <c r="M298" s="62">
        <f t="shared" si="33"/>
        <v>-0.82012738853503186</v>
      </c>
      <c r="O298" s="61">
        <v>3177</v>
      </c>
      <c r="P298" s="61">
        <f t="shared" si="34"/>
        <v>-15663</v>
      </c>
      <c r="Q298" s="62">
        <f t="shared" si="35"/>
        <v>-0.83136942675159231</v>
      </c>
      <c r="S298" s="71">
        <v>1529</v>
      </c>
    </row>
    <row r="299" spans="1:19">
      <c r="A299" s="67">
        <v>259</v>
      </c>
      <c r="B299" s="74" t="s">
        <v>242</v>
      </c>
      <c r="C299" s="71">
        <v>226100</v>
      </c>
      <c r="D299" s="125" t="s">
        <v>365</v>
      </c>
      <c r="G299" s="61">
        <v>12361</v>
      </c>
      <c r="H299" s="61">
        <f t="shared" si="30"/>
        <v>-213739</v>
      </c>
      <c r="I299" s="62">
        <f t="shared" si="31"/>
        <v>-0.94532950022114104</v>
      </c>
      <c r="K299" s="61">
        <v>9888.7999999999993</v>
      </c>
      <c r="L299" s="61">
        <f t="shared" si="32"/>
        <v>-216211.20000000001</v>
      </c>
      <c r="M299" s="62">
        <f t="shared" si="33"/>
        <v>-0.95626360017691292</v>
      </c>
      <c r="O299" s="61">
        <v>9270.75</v>
      </c>
      <c r="P299" s="61">
        <f t="shared" si="34"/>
        <v>-216829.25</v>
      </c>
      <c r="Q299" s="62">
        <f t="shared" si="35"/>
        <v>-0.95899712516585578</v>
      </c>
      <c r="S299" s="71">
        <v>1529</v>
      </c>
    </row>
    <row r="300" spans="1:19">
      <c r="A300" s="67">
        <v>260</v>
      </c>
      <c r="B300" s="74" t="s">
        <v>243</v>
      </c>
      <c r="C300" s="71">
        <v>8730</v>
      </c>
      <c r="D300" s="125" t="s">
        <v>366</v>
      </c>
      <c r="G300" s="61">
        <v>4378</v>
      </c>
      <c r="H300" s="61">
        <f t="shared" si="30"/>
        <v>-4352</v>
      </c>
      <c r="I300" s="62">
        <f t="shared" si="31"/>
        <v>-0.49851088201603666</v>
      </c>
      <c r="K300" s="61">
        <v>3502.4</v>
      </c>
      <c r="L300" s="61">
        <f t="shared" si="32"/>
        <v>-5227.6000000000004</v>
      </c>
      <c r="M300" s="62">
        <f t="shared" si="33"/>
        <v>-0.5988087056128294</v>
      </c>
      <c r="O300" s="61">
        <v>3283.5</v>
      </c>
      <c r="P300" s="61">
        <f t="shared" si="34"/>
        <v>-5446.5</v>
      </c>
      <c r="Q300" s="62">
        <f t="shared" si="35"/>
        <v>-0.6238831615120275</v>
      </c>
      <c r="S300" s="71">
        <v>3821</v>
      </c>
    </row>
    <row r="301" spans="1:19">
      <c r="A301" s="67">
        <v>261</v>
      </c>
      <c r="B301" s="74" t="s">
        <v>243</v>
      </c>
      <c r="C301" s="71">
        <v>104720</v>
      </c>
      <c r="D301" s="125" t="s">
        <v>365</v>
      </c>
      <c r="G301" s="61">
        <v>6180</v>
      </c>
      <c r="H301" s="61">
        <f t="shared" si="30"/>
        <v>-98540</v>
      </c>
      <c r="I301" s="62">
        <f t="shared" si="31"/>
        <v>-0.94098548510313218</v>
      </c>
      <c r="K301" s="61">
        <v>4944</v>
      </c>
      <c r="L301" s="61">
        <f t="shared" si="32"/>
        <v>-99776</v>
      </c>
      <c r="M301" s="62">
        <f t="shared" si="33"/>
        <v>-0.95278838808250577</v>
      </c>
      <c r="O301" s="61">
        <v>4635</v>
      </c>
      <c r="P301" s="61">
        <f t="shared" si="34"/>
        <v>-100085</v>
      </c>
      <c r="Q301" s="62">
        <f t="shared" si="35"/>
        <v>-0.95573911382734911</v>
      </c>
      <c r="S301" s="71">
        <v>3821</v>
      </c>
    </row>
    <row r="302" spans="1:19">
      <c r="A302" s="67">
        <v>262</v>
      </c>
      <c r="B302" s="74" t="s">
        <v>259</v>
      </c>
      <c r="C302" s="71">
        <v>560</v>
      </c>
      <c r="D302" s="125" t="s">
        <v>366</v>
      </c>
      <c r="G302" s="61">
        <v>345</v>
      </c>
      <c r="H302" s="61">
        <f t="shared" si="30"/>
        <v>-215</v>
      </c>
      <c r="I302" s="62">
        <f t="shared" si="31"/>
        <v>-0.38392857142857145</v>
      </c>
      <c r="K302" s="61">
        <v>276</v>
      </c>
      <c r="L302" s="61">
        <f t="shared" si="32"/>
        <v>-284</v>
      </c>
      <c r="M302" s="62">
        <f t="shared" si="33"/>
        <v>-0.50714285714285712</v>
      </c>
      <c r="O302" s="61">
        <v>258.75</v>
      </c>
      <c r="P302" s="61">
        <f t="shared" si="34"/>
        <v>-301.25</v>
      </c>
      <c r="Q302" s="62">
        <f t="shared" si="35"/>
        <v>-0.5379464285714286</v>
      </c>
      <c r="S302" s="71">
        <v>3821</v>
      </c>
    </row>
    <row r="303" spans="1:19">
      <c r="A303" s="67">
        <v>263</v>
      </c>
      <c r="B303" s="74" t="s">
        <v>259</v>
      </c>
      <c r="C303" s="71">
        <v>6650</v>
      </c>
      <c r="D303" s="125" t="s">
        <v>365</v>
      </c>
      <c r="G303" s="61">
        <v>385</v>
      </c>
      <c r="H303" s="61">
        <f t="shared" si="30"/>
        <v>-6265</v>
      </c>
      <c r="I303" s="62">
        <f t="shared" si="31"/>
        <v>-0.94210526315789478</v>
      </c>
      <c r="K303" s="61">
        <v>308</v>
      </c>
      <c r="L303" s="61">
        <f t="shared" si="32"/>
        <v>-6342</v>
      </c>
      <c r="M303" s="62">
        <f t="shared" si="33"/>
        <v>-0.9536842105263158</v>
      </c>
      <c r="O303" s="61">
        <v>288.75</v>
      </c>
      <c r="P303" s="61">
        <f t="shared" si="34"/>
        <v>-6361.25</v>
      </c>
      <c r="Q303" s="62">
        <f t="shared" si="35"/>
        <v>-0.95657894736842108</v>
      </c>
      <c r="S303" s="71">
        <v>3821</v>
      </c>
    </row>
    <row r="304" spans="1:19">
      <c r="A304" s="67">
        <v>264</v>
      </c>
      <c r="B304" s="74" t="s">
        <v>260</v>
      </c>
      <c r="C304" s="71">
        <v>2480</v>
      </c>
      <c r="D304" s="125" t="s">
        <v>366</v>
      </c>
      <c r="G304" s="61">
        <v>613</v>
      </c>
      <c r="H304" s="61">
        <f t="shared" si="30"/>
        <v>-1867</v>
      </c>
      <c r="I304" s="62">
        <f t="shared" si="31"/>
        <v>-0.75282258064516128</v>
      </c>
      <c r="K304" s="61">
        <v>490.4</v>
      </c>
      <c r="L304" s="61">
        <f t="shared" si="32"/>
        <v>-1989.6</v>
      </c>
      <c r="M304" s="62">
        <f t="shared" si="33"/>
        <v>-0.80225806451612902</v>
      </c>
      <c r="O304" s="61">
        <v>459.75</v>
      </c>
      <c r="P304" s="61">
        <f t="shared" si="34"/>
        <v>-2020.25</v>
      </c>
      <c r="Q304" s="62">
        <f t="shared" si="35"/>
        <v>-0.81461693548387093</v>
      </c>
      <c r="S304" s="71">
        <v>8640</v>
      </c>
    </row>
    <row r="305" spans="1:19">
      <c r="A305" s="67">
        <v>265</v>
      </c>
      <c r="B305" s="74" t="s">
        <v>260</v>
      </c>
      <c r="C305" s="71">
        <v>29750</v>
      </c>
      <c r="D305" s="125" t="s">
        <v>365</v>
      </c>
      <c r="G305" s="61">
        <v>613</v>
      </c>
      <c r="H305" s="61">
        <f t="shared" si="30"/>
        <v>-29137</v>
      </c>
      <c r="I305" s="62">
        <f t="shared" si="31"/>
        <v>-0.97939495798319331</v>
      </c>
      <c r="K305" s="61">
        <v>490.4</v>
      </c>
      <c r="L305" s="61">
        <f t="shared" si="32"/>
        <v>-29259.599999999999</v>
      </c>
      <c r="M305" s="62">
        <f t="shared" si="33"/>
        <v>-0.98351596638655459</v>
      </c>
      <c r="O305" s="61">
        <v>459.75</v>
      </c>
      <c r="P305" s="61">
        <f t="shared" si="34"/>
        <v>-29290.25</v>
      </c>
      <c r="Q305" s="62">
        <f t="shared" si="35"/>
        <v>-0.98454621848739499</v>
      </c>
      <c r="S305" s="71">
        <v>8640</v>
      </c>
    </row>
    <row r="306" spans="1:19">
      <c r="A306" s="67">
        <v>266</v>
      </c>
      <c r="B306" s="74" t="s">
        <v>261</v>
      </c>
      <c r="C306" s="71">
        <v>3470</v>
      </c>
      <c r="D306" s="125" t="s">
        <v>366</v>
      </c>
      <c r="G306" s="61">
        <v>1102</v>
      </c>
      <c r="H306" s="61">
        <f t="shared" si="30"/>
        <v>-2368</v>
      </c>
      <c r="I306" s="62">
        <f t="shared" si="31"/>
        <v>-0.68242074927953889</v>
      </c>
      <c r="K306" s="61">
        <v>881.6</v>
      </c>
      <c r="L306" s="61">
        <f t="shared" si="32"/>
        <v>-2588.4</v>
      </c>
      <c r="M306" s="62">
        <f t="shared" si="33"/>
        <v>-0.74593659942363111</v>
      </c>
      <c r="O306" s="61">
        <v>826.5</v>
      </c>
      <c r="P306" s="61">
        <f t="shared" si="34"/>
        <v>-2643.5</v>
      </c>
      <c r="Q306" s="62">
        <f t="shared" si="35"/>
        <v>-0.76181556195965416</v>
      </c>
      <c r="S306" s="71">
        <v>8640</v>
      </c>
    </row>
    <row r="307" spans="1:19">
      <c r="A307" s="67">
        <v>267</v>
      </c>
      <c r="B307" s="74" t="s">
        <v>261</v>
      </c>
      <c r="C307" s="71">
        <v>41650</v>
      </c>
      <c r="D307" s="125" t="s">
        <v>365</v>
      </c>
      <c r="G307" s="61">
        <v>1102</v>
      </c>
      <c r="H307" s="61">
        <f t="shared" si="30"/>
        <v>-40548</v>
      </c>
      <c r="I307" s="62">
        <f t="shared" si="31"/>
        <v>-0.97354141656662663</v>
      </c>
      <c r="K307" s="61">
        <v>881.6</v>
      </c>
      <c r="L307" s="61">
        <f t="shared" si="32"/>
        <v>-40768.400000000001</v>
      </c>
      <c r="M307" s="62">
        <f t="shared" si="33"/>
        <v>-0.97883313325330135</v>
      </c>
      <c r="O307" s="61">
        <v>826.5</v>
      </c>
      <c r="P307" s="61">
        <f t="shared" si="34"/>
        <v>-40823.5</v>
      </c>
      <c r="Q307" s="62">
        <f t="shared" si="35"/>
        <v>-0.98015606242497</v>
      </c>
      <c r="S307" s="71">
        <v>8640</v>
      </c>
    </row>
    <row r="308" spans="1:19">
      <c r="A308" s="67">
        <v>268</v>
      </c>
      <c r="B308" s="74" t="s">
        <v>262</v>
      </c>
      <c r="C308" s="71">
        <v>735</v>
      </c>
      <c r="D308" s="125" t="s">
        <v>366</v>
      </c>
      <c r="G308" s="61">
        <v>297</v>
      </c>
      <c r="H308" s="61">
        <f t="shared" si="30"/>
        <v>-438</v>
      </c>
      <c r="I308" s="62">
        <f t="shared" si="31"/>
        <v>-0.59591836734693882</v>
      </c>
      <c r="K308" s="61">
        <v>237.6</v>
      </c>
      <c r="L308" s="61">
        <f t="shared" si="32"/>
        <v>-497.4</v>
      </c>
      <c r="M308" s="62">
        <f t="shared" si="33"/>
        <v>-0.67673469387755103</v>
      </c>
      <c r="O308" s="61">
        <v>222.75</v>
      </c>
      <c r="P308" s="61">
        <f t="shared" si="34"/>
        <v>-512.25</v>
      </c>
      <c r="Q308" s="62">
        <f t="shared" si="35"/>
        <v>-0.69693877551020411</v>
      </c>
      <c r="S308" s="71">
        <v>17560</v>
      </c>
    </row>
    <row r="309" spans="1:19">
      <c r="A309" s="67">
        <v>269</v>
      </c>
      <c r="B309" s="74" t="s">
        <v>262</v>
      </c>
      <c r="C309" s="71">
        <v>8810</v>
      </c>
      <c r="D309" s="125" t="s">
        <v>365</v>
      </c>
      <c r="G309" s="61">
        <v>297</v>
      </c>
      <c r="H309" s="61">
        <f t="shared" si="30"/>
        <v>-8513</v>
      </c>
      <c r="I309" s="62">
        <f t="shared" si="31"/>
        <v>-0.9662883087400681</v>
      </c>
      <c r="K309" s="61">
        <v>237.6</v>
      </c>
      <c r="L309" s="61">
        <f t="shared" si="32"/>
        <v>-8572.4</v>
      </c>
      <c r="M309" s="62">
        <f t="shared" si="33"/>
        <v>-0.97303064699205444</v>
      </c>
      <c r="O309" s="61">
        <v>222.75</v>
      </c>
      <c r="P309" s="61">
        <f t="shared" si="34"/>
        <v>-8587.25</v>
      </c>
      <c r="Q309" s="62">
        <f t="shared" si="35"/>
        <v>-0.97471623155505105</v>
      </c>
      <c r="S309" s="71">
        <v>17560</v>
      </c>
    </row>
    <row r="310" spans="1:19">
      <c r="A310" s="67">
        <v>270</v>
      </c>
      <c r="B310" s="74" t="s">
        <v>263</v>
      </c>
      <c r="C310" s="71">
        <v>1290</v>
      </c>
      <c r="D310" s="125" t="s">
        <v>366</v>
      </c>
      <c r="G310" s="61">
        <v>230</v>
      </c>
      <c r="H310" s="61">
        <f t="shared" si="30"/>
        <v>-1060</v>
      </c>
      <c r="I310" s="62">
        <f t="shared" si="31"/>
        <v>-0.82170542635658916</v>
      </c>
      <c r="K310" s="61">
        <v>184</v>
      </c>
      <c r="L310" s="61">
        <f t="shared" si="32"/>
        <v>-1106</v>
      </c>
      <c r="M310" s="62">
        <f t="shared" si="33"/>
        <v>-0.85736434108527126</v>
      </c>
      <c r="O310" s="61">
        <v>172.5</v>
      </c>
      <c r="P310" s="61">
        <f t="shared" si="34"/>
        <v>-1117.5</v>
      </c>
      <c r="Q310" s="62">
        <f t="shared" si="35"/>
        <v>-0.86627906976744184</v>
      </c>
      <c r="S310" s="71">
        <v>17560</v>
      </c>
    </row>
    <row r="311" spans="1:19">
      <c r="A311" s="67">
        <v>271</v>
      </c>
      <c r="B311" s="74" t="s">
        <v>263</v>
      </c>
      <c r="C311" s="71">
        <v>15410.5</v>
      </c>
      <c r="D311" s="125" t="s">
        <v>365</v>
      </c>
      <c r="G311" s="61">
        <v>230</v>
      </c>
      <c r="H311" s="61">
        <f t="shared" si="30"/>
        <v>-15180.5</v>
      </c>
      <c r="I311" s="62">
        <f t="shared" si="31"/>
        <v>-0.98507511112553126</v>
      </c>
      <c r="K311" s="61">
        <v>184</v>
      </c>
      <c r="L311" s="61">
        <f t="shared" si="32"/>
        <v>-15226.5</v>
      </c>
      <c r="M311" s="62">
        <f t="shared" si="33"/>
        <v>-0.98806008890042507</v>
      </c>
      <c r="O311" s="61">
        <v>172.5</v>
      </c>
      <c r="P311" s="61">
        <f t="shared" si="34"/>
        <v>-15238</v>
      </c>
      <c r="Q311" s="62">
        <f t="shared" si="35"/>
        <v>-0.98880633334414847</v>
      </c>
      <c r="S311" s="71">
        <v>22460</v>
      </c>
    </row>
    <row r="312" spans="1:19">
      <c r="A312" s="67">
        <v>272</v>
      </c>
      <c r="B312" s="74" t="s">
        <v>264</v>
      </c>
      <c r="C312" s="71">
        <v>1340</v>
      </c>
      <c r="D312" s="125" t="s">
        <v>366</v>
      </c>
      <c r="G312" s="61">
        <v>749</v>
      </c>
      <c r="H312" s="61">
        <f t="shared" ref="H312:H373" si="36">+G312-C312</f>
        <v>-591</v>
      </c>
      <c r="I312" s="62">
        <f t="shared" ref="I312:I373" si="37">H312/C312</f>
        <v>-0.44104477611940296</v>
      </c>
      <c r="K312" s="61">
        <v>599.20000000000005</v>
      </c>
      <c r="L312" s="61">
        <f t="shared" ref="L312:L373" si="38">+K312-C312</f>
        <v>-740.8</v>
      </c>
      <c r="M312" s="62">
        <f t="shared" ref="M312:M373" si="39">L312/C312</f>
        <v>-0.5528358208955223</v>
      </c>
      <c r="O312" s="61">
        <v>561.75</v>
      </c>
      <c r="P312" s="61">
        <f t="shared" ref="P312:P375" si="40">+O312-C312</f>
        <v>-778.25</v>
      </c>
      <c r="Q312" s="62">
        <f t="shared" ref="Q312:Q375" si="41">+P312/C312</f>
        <v>-0.58078358208955227</v>
      </c>
      <c r="S312" s="71">
        <v>22460</v>
      </c>
    </row>
    <row r="313" spans="1:19">
      <c r="A313" s="67">
        <v>273</v>
      </c>
      <c r="B313" s="74" t="s">
        <v>264</v>
      </c>
      <c r="C313" s="71">
        <v>16065</v>
      </c>
      <c r="D313" s="125" t="s">
        <v>365</v>
      </c>
      <c r="G313" s="61">
        <v>791</v>
      </c>
      <c r="H313" s="61">
        <f t="shared" si="36"/>
        <v>-15274</v>
      </c>
      <c r="I313" s="62">
        <f t="shared" si="37"/>
        <v>-0.9507625272331155</v>
      </c>
      <c r="K313" s="61">
        <v>632.79999999999995</v>
      </c>
      <c r="L313" s="61">
        <f t="shared" si="38"/>
        <v>-15432.2</v>
      </c>
      <c r="M313" s="62">
        <f t="shared" si="39"/>
        <v>-0.96061002178649246</v>
      </c>
      <c r="O313" s="61">
        <v>593.25</v>
      </c>
      <c r="P313" s="61">
        <f t="shared" si="40"/>
        <v>-15471.75</v>
      </c>
      <c r="Q313" s="62">
        <f t="shared" si="41"/>
        <v>-0.96307189542483662</v>
      </c>
      <c r="S313" s="71">
        <v>20460</v>
      </c>
    </row>
    <row r="314" spans="1:19">
      <c r="A314" s="67">
        <v>274</v>
      </c>
      <c r="B314" s="74" t="s">
        <v>265</v>
      </c>
      <c r="C314" s="71">
        <v>1440</v>
      </c>
      <c r="D314" s="125" t="s">
        <v>366</v>
      </c>
      <c r="G314" s="61">
        <v>1273</v>
      </c>
      <c r="H314" s="61">
        <f t="shared" si="36"/>
        <v>-167</v>
      </c>
      <c r="I314" s="62">
        <f t="shared" si="37"/>
        <v>-0.11597222222222223</v>
      </c>
      <c r="K314" s="61">
        <v>1018.4</v>
      </c>
      <c r="L314" s="61">
        <f t="shared" si="38"/>
        <v>-421.6</v>
      </c>
      <c r="M314" s="62">
        <f t="shared" si="39"/>
        <v>-0.2927777777777778</v>
      </c>
      <c r="O314" s="61">
        <v>954.75</v>
      </c>
      <c r="P314" s="61">
        <f t="shared" si="40"/>
        <v>-485.25</v>
      </c>
      <c r="Q314" s="62">
        <f t="shared" si="41"/>
        <v>-0.33697916666666666</v>
      </c>
      <c r="S314" s="71">
        <v>50011</v>
      </c>
    </row>
    <row r="315" spans="1:19">
      <c r="A315" s="67">
        <v>275</v>
      </c>
      <c r="B315" s="74" t="s">
        <v>265</v>
      </c>
      <c r="C315" s="71">
        <v>17255</v>
      </c>
      <c r="D315" s="125" t="s">
        <v>365</v>
      </c>
      <c r="G315" s="61">
        <v>1341</v>
      </c>
      <c r="H315" s="61">
        <f t="shared" si="36"/>
        <v>-15914</v>
      </c>
      <c r="I315" s="62">
        <f t="shared" si="37"/>
        <v>-0.92228339611706756</v>
      </c>
      <c r="K315" s="61">
        <v>1072.8</v>
      </c>
      <c r="L315" s="61">
        <f t="shared" si="38"/>
        <v>-16182.2</v>
      </c>
      <c r="M315" s="62">
        <f t="shared" si="39"/>
        <v>-0.93782671689365404</v>
      </c>
      <c r="O315" s="61">
        <v>1005.75</v>
      </c>
      <c r="P315" s="61">
        <f t="shared" si="40"/>
        <v>-16249.25</v>
      </c>
      <c r="Q315" s="62">
        <f t="shared" si="41"/>
        <v>-0.94171254708780061</v>
      </c>
      <c r="S315" s="71">
        <v>50011</v>
      </c>
    </row>
    <row r="316" spans="1:19">
      <c r="A316" s="67">
        <v>276</v>
      </c>
      <c r="B316" s="74" t="s">
        <v>266</v>
      </c>
      <c r="C316" s="71">
        <v>2230</v>
      </c>
      <c r="D316" s="125" t="s">
        <v>366</v>
      </c>
      <c r="G316" s="61">
        <v>1725</v>
      </c>
      <c r="H316" s="61">
        <f t="shared" si="36"/>
        <v>-505</v>
      </c>
      <c r="I316" s="62">
        <f t="shared" si="37"/>
        <v>-0.226457399103139</v>
      </c>
      <c r="K316" s="61">
        <v>1380</v>
      </c>
      <c r="L316" s="61">
        <f t="shared" si="38"/>
        <v>-850</v>
      </c>
      <c r="M316" s="62">
        <f t="shared" si="39"/>
        <v>-0.3811659192825112</v>
      </c>
      <c r="O316" s="61">
        <v>1293.75</v>
      </c>
      <c r="P316" s="61">
        <f t="shared" si="40"/>
        <v>-936.25</v>
      </c>
      <c r="Q316" s="62">
        <f t="shared" si="41"/>
        <v>-0.41984304932735428</v>
      </c>
      <c r="S316" s="71">
        <v>50011</v>
      </c>
    </row>
    <row r="317" spans="1:19">
      <c r="A317" s="67">
        <v>277</v>
      </c>
      <c r="B317" s="74" t="s">
        <v>266</v>
      </c>
      <c r="C317" s="71">
        <v>26775</v>
      </c>
      <c r="D317" s="125" t="s">
        <v>365</v>
      </c>
      <c r="G317" s="61">
        <v>1725</v>
      </c>
      <c r="H317" s="61">
        <f t="shared" si="36"/>
        <v>-25050</v>
      </c>
      <c r="I317" s="62">
        <f t="shared" si="37"/>
        <v>-0.93557422969187676</v>
      </c>
      <c r="K317" s="61">
        <v>1380</v>
      </c>
      <c r="L317" s="61">
        <f t="shared" si="38"/>
        <v>-25395</v>
      </c>
      <c r="M317" s="62">
        <f t="shared" si="39"/>
        <v>-0.94845938375350136</v>
      </c>
      <c r="O317" s="61">
        <v>1293.75</v>
      </c>
      <c r="P317" s="61">
        <f t="shared" si="40"/>
        <v>-25481.25</v>
      </c>
      <c r="Q317" s="62">
        <f t="shared" si="41"/>
        <v>-0.95168067226890751</v>
      </c>
      <c r="S317" s="71">
        <v>104568</v>
      </c>
    </row>
    <row r="318" spans="1:19">
      <c r="A318" s="67">
        <v>278</v>
      </c>
      <c r="B318" s="74" t="s">
        <v>267</v>
      </c>
      <c r="C318" s="71">
        <v>1275</v>
      </c>
      <c r="D318" s="125" t="s">
        <v>366</v>
      </c>
      <c r="G318" s="61">
        <v>1341</v>
      </c>
      <c r="H318" s="61">
        <f t="shared" si="36"/>
        <v>66</v>
      </c>
      <c r="I318" s="62">
        <f t="shared" si="37"/>
        <v>5.1764705882352942E-2</v>
      </c>
      <c r="K318" s="61">
        <v>1072.8</v>
      </c>
      <c r="L318" s="61">
        <f t="shared" si="38"/>
        <v>-202.20000000000005</v>
      </c>
      <c r="M318" s="62">
        <f t="shared" si="39"/>
        <v>-0.1585882352941177</v>
      </c>
      <c r="O318" s="61">
        <v>1005.75</v>
      </c>
      <c r="P318" s="61">
        <f t="shared" si="40"/>
        <v>-269.25</v>
      </c>
      <c r="Q318" s="62">
        <f t="shared" si="41"/>
        <v>-0.2111764705882353</v>
      </c>
      <c r="S318" s="71">
        <v>104568</v>
      </c>
    </row>
    <row r="319" spans="1:19">
      <c r="A319" s="67">
        <v>279</v>
      </c>
      <c r="B319" s="74" t="s">
        <v>267</v>
      </c>
      <c r="C319" s="71">
        <v>45815</v>
      </c>
      <c r="D319" s="125" t="s">
        <v>365</v>
      </c>
      <c r="G319" s="61">
        <v>1341</v>
      </c>
      <c r="H319" s="61">
        <f t="shared" si="36"/>
        <v>-44474</v>
      </c>
      <c r="I319" s="62">
        <f t="shared" si="37"/>
        <v>-0.97073011022590849</v>
      </c>
      <c r="K319" s="61">
        <v>1072.8</v>
      </c>
      <c r="L319" s="61">
        <f t="shared" si="38"/>
        <v>-44742.2</v>
      </c>
      <c r="M319" s="62">
        <f t="shared" si="39"/>
        <v>-0.97658408818072673</v>
      </c>
      <c r="O319" s="61">
        <v>1005.75</v>
      </c>
      <c r="P319" s="61">
        <f t="shared" si="40"/>
        <v>-44809.25</v>
      </c>
      <c r="Q319" s="62">
        <f t="shared" si="41"/>
        <v>-0.97804758266943137</v>
      </c>
      <c r="S319" s="71">
        <v>101386</v>
      </c>
    </row>
    <row r="320" spans="1:19">
      <c r="A320" s="67">
        <v>280</v>
      </c>
      <c r="B320" s="74" t="s">
        <v>268</v>
      </c>
      <c r="C320" s="71">
        <v>39900</v>
      </c>
      <c r="D320" s="125" t="s">
        <v>365</v>
      </c>
      <c r="G320" s="61">
        <v>2295</v>
      </c>
      <c r="H320" s="61">
        <f t="shared" si="36"/>
        <v>-37605</v>
      </c>
      <c r="I320" s="62">
        <f t="shared" si="37"/>
        <v>-0.94248120300751881</v>
      </c>
      <c r="K320" s="61">
        <v>1836</v>
      </c>
      <c r="L320" s="61">
        <f t="shared" si="38"/>
        <v>-38064</v>
      </c>
      <c r="M320" s="62">
        <f t="shared" si="39"/>
        <v>-0.95398496240601505</v>
      </c>
      <c r="O320" s="61">
        <v>1721.25</v>
      </c>
      <c r="P320" s="61">
        <f t="shared" si="40"/>
        <v>-38178.75</v>
      </c>
      <c r="Q320" s="62">
        <f t="shared" si="41"/>
        <v>-0.95686090225563913</v>
      </c>
      <c r="S320" s="71">
        <v>159124</v>
      </c>
    </row>
    <row r="321" spans="1:19">
      <c r="A321" s="67">
        <v>281</v>
      </c>
      <c r="B321" s="74" t="s">
        <v>269</v>
      </c>
      <c r="C321" s="71">
        <v>7930</v>
      </c>
      <c r="D321" s="125" t="s">
        <v>366</v>
      </c>
      <c r="G321" s="61">
        <v>8478</v>
      </c>
      <c r="H321" s="61">
        <f t="shared" si="36"/>
        <v>548</v>
      </c>
      <c r="I321" s="62">
        <f t="shared" si="37"/>
        <v>6.9104665825977296E-2</v>
      </c>
      <c r="K321" s="61">
        <v>6782.4</v>
      </c>
      <c r="L321" s="61">
        <f t="shared" si="38"/>
        <v>-1147.6000000000004</v>
      </c>
      <c r="M321" s="62">
        <f t="shared" si="39"/>
        <v>-0.14471626733921822</v>
      </c>
      <c r="O321" s="61">
        <v>6358.5</v>
      </c>
      <c r="P321" s="61">
        <f t="shared" si="40"/>
        <v>-1571.5</v>
      </c>
      <c r="Q321" s="62">
        <f t="shared" si="41"/>
        <v>-0.19817150063051703</v>
      </c>
      <c r="S321" s="71">
        <v>175037</v>
      </c>
    </row>
    <row r="322" spans="1:19">
      <c r="A322" s="67">
        <v>282</v>
      </c>
      <c r="B322" s="74" t="s">
        <v>269</v>
      </c>
      <c r="C322" s="71">
        <v>285419</v>
      </c>
      <c r="D322" s="125" t="s">
        <v>365</v>
      </c>
      <c r="G322" s="61">
        <v>11374</v>
      </c>
      <c r="H322" s="61">
        <f t="shared" si="36"/>
        <v>-274045</v>
      </c>
      <c r="I322" s="62">
        <f t="shared" si="37"/>
        <v>-0.9601498148336306</v>
      </c>
      <c r="K322" s="61">
        <v>9099.2000000000007</v>
      </c>
      <c r="L322" s="61">
        <f t="shared" si="38"/>
        <v>-276319.8</v>
      </c>
      <c r="M322" s="62">
        <f t="shared" si="39"/>
        <v>-0.96811985186690441</v>
      </c>
      <c r="O322" s="61">
        <v>8530.5</v>
      </c>
      <c r="P322" s="61">
        <f t="shared" si="40"/>
        <v>-276888.5</v>
      </c>
      <c r="Q322" s="62">
        <f t="shared" si="41"/>
        <v>-0.97011236112522292</v>
      </c>
      <c r="S322" s="71">
        <v>14259</v>
      </c>
    </row>
    <row r="323" spans="1:19">
      <c r="A323" s="67">
        <v>283</v>
      </c>
      <c r="B323" s="74" t="s">
        <v>270</v>
      </c>
      <c r="C323" s="71">
        <f>+C324/36</f>
        <v>8375</v>
      </c>
      <c r="D323" s="125" t="s">
        <v>366</v>
      </c>
      <c r="G323" s="61">
        <v>12132</v>
      </c>
      <c r="H323" s="61">
        <f t="shared" si="36"/>
        <v>3757</v>
      </c>
      <c r="I323" s="62">
        <f t="shared" si="37"/>
        <v>0.44859701492537313</v>
      </c>
      <c r="K323" s="61">
        <v>9705.6</v>
      </c>
      <c r="L323" s="61">
        <f t="shared" si="38"/>
        <v>1330.6000000000004</v>
      </c>
      <c r="M323" s="62">
        <f t="shared" si="39"/>
        <v>0.15887761194029856</v>
      </c>
      <c r="O323" s="61">
        <v>9099</v>
      </c>
      <c r="P323" s="61">
        <f t="shared" si="40"/>
        <v>724</v>
      </c>
      <c r="Q323" s="62">
        <f t="shared" si="41"/>
        <v>8.6447761194029846E-2</v>
      </c>
      <c r="S323" s="71">
        <v>15277</v>
      </c>
    </row>
    <row r="324" spans="1:19">
      <c r="A324" s="67">
        <v>284</v>
      </c>
      <c r="B324" s="74" t="s">
        <v>270</v>
      </c>
      <c r="C324" s="71">
        <v>301500</v>
      </c>
      <c r="D324" s="125" t="s">
        <v>365</v>
      </c>
      <c r="G324" s="61">
        <v>12132</v>
      </c>
      <c r="H324" s="61">
        <f t="shared" si="36"/>
        <v>-289368</v>
      </c>
      <c r="I324" s="62">
        <f t="shared" si="37"/>
        <v>-0.95976119402985072</v>
      </c>
      <c r="K324" s="61">
        <v>9705.6</v>
      </c>
      <c r="L324" s="61">
        <f t="shared" si="38"/>
        <v>-291794.40000000002</v>
      </c>
      <c r="M324" s="62">
        <f t="shared" si="39"/>
        <v>-0.96780895522388066</v>
      </c>
      <c r="O324" s="61">
        <v>9099</v>
      </c>
      <c r="P324" s="61">
        <f t="shared" si="40"/>
        <v>-292401</v>
      </c>
      <c r="Q324" s="62">
        <f t="shared" si="41"/>
        <v>-0.96982089552238804</v>
      </c>
      <c r="S324" s="71">
        <v>17277</v>
      </c>
    </row>
    <row r="325" spans="1:19">
      <c r="A325" s="67">
        <v>285</v>
      </c>
      <c r="B325" s="74" t="s">
        <v>271</v>
      </c>
      <c r="C325" s="71">
        <v>13190</v>
      </c>
      <c r="D325" s="125" t="s">
        <v>366</v>
      </c>
      <c r="G325" s="61">
        <v>24865</v>
      </c>
      <c r="H325" s="61">
        <f t="shared" si="36"/>
        <v>11675</v>
      </c>
      <c r="I325" s="62">
        <f t="shared" si="37"/>
        <v>0.88514025777103866</v>
      </c>
      <c r="K325" s="61">
        <v>19892</v>
      </c>
      <c r="L325" s="61">
        <f t="shared" si="38"/>
        <v>6702</v>
      </c>
      <c r="M325" s="62">
        <f t="shared" si="39"/>
        <v>0.50811220621683095</v>
      </c>
      <c r="O325" s="61">
        <v>18648.75</v>
      </c>
      <c r="P325" s="61">
        <f t="shared" si="40"/>
        <v>5458.75</v>
      </c>
      <c r="Q325" s="62">
        <f t="shared" si="41"/>
        <v>0.41385519332827903</v>
      </c>
      <c r="S325" s="71">
        <v>16369</v>
      </c>
    </row>
    <row r="326" spans="1:19">
      <c r="A326" s="67">
        <v>286</v>
      </c>
      <c r="B326" s="74" t="s">
        <v>271</v>
      </c>
      <c r="C326" s="71">
        <v>474810</v>
      </c>
      <c r="D326" s="125" t="s">
        <v>365</v>
      </c>
      <c r="G326" s="61">
        <v>24865</v>
      </c>
      <c r="H326" s="61">
        <f t="shared" si="36"/>
        <v>-449945</v>
      </c>
      <c r="I326" s="62">
        <f t="shared" si="37"/>
        <v>-0.94763168425264843</v>
      </c>
      <c r="K326" s="61">
        <v>19892</v>
      </c>
      <c r="L326" s="61">
        <f t="shared" si="38"/>
        <v>-454918</v>
      </c>
      <c r="M326" s="62">
        <f t="shared" si="39"/>
        <v>-0.95810534740211872</v>
      </c>
      <c r="O326" s="61">
        <v>18648.75</v>
      </c>
      <c r="P326" s="61">
        <f t="shared" si="40"/>
        <v>-456161.25</v>
      </c>
      <c r="Q326" s="62">
        <f t="shared" si="41"/>
        <v>-0.96072376318948627</v>
      </c>
      <c r="S326" s="71">
        <v>17315</v>
      </c>
    </row>
    <row r="327" spans="1:19">
      <c r="A327" s="67">
        <v>287</v>
      </c>
      <c r="B327" s="74" t="s">
        <v>272</v>
      </c>
      <c r="C327" s="71">
        <v>10910</v>
      </c>
      <c r="D327" s="125" t="s">
        <v>366</v>
      </c>
      <c r="G327" s="61">
        <v>23677</v>
      </c>
      <c r="H327" s="61">
        <f t="shared" si="36"/>
        <v>12767</v>
      </c>
      <c r="I327" s="62">
        <f t="shared" si="37"/>
        <v>1.1702108157653528</v>
      </c>
      <c r="K327" s="61">
        <v>18941.599999999999</v>
      </c>
      <c r="L327" s="61">
        <f t="shared" si="38"/>
        <v>8031.5999999999985</v>
      </c>
      <c r="M327" s="62">
        <f t="shared" si="39"/>
        <v>0.73616865261228215</v>
      </c>
      <c r="O327" s="61">
        <v>17757.75</v>
      </c>
      <c r="P327" s="61">
        <f t="shared" si="40"/>
        <v>6847.75</v>
      </c>
      <c r="Q327" s="62">
        <f t="shared" si="41"/>
        <v>0.62765811182401465</v>
      </c>
      <c r="S327" s="71">
        <v>40737</v>
      </c>
    </row>
    <row r="328" spans="1:19">
      <c r="A328" s="67">
        <v>288</v>
      </c>
      <c r="B328" s="74" t="s">
        <v>272</v>
      </c>
      <c r="C328" s="71">
        <v>392700</v>
      </c>
      <c r="D328" s="125" t="s">
        <v>365</v>
      </c>
      <c r="G328" s="61">
        <v>23677</v>
      </c>
      <c r="H328" s="61">
        <f t="shared" si="36"/>
        <v>-369023</v>
      </c>
      <c r="I328" s="62">
        <f t="shared" si="37"/>
        <v>-0.93970715558950857</v>
      </c>
      <c r="K328" s="61">
        <v>18941.599999999999</v>
      </c>
      <c r="L328" s="61">
        <f t="shared" si="38"/>
        <v>-373758.4</v>
      </c>
      <c r="M328" s="62">
        <f t="shared" si="39"/>
        <v>-0.9517657244716069</v>
      </c>
      <c r="O328" s="61">
        <v>17757.75</v>
      </c>
      <c r="P328" s="61">
        <f t="shared" si="40"/>
        <v>-374942.25</v>
      </c>
      <c r="Q328" s="62">
        <f t="shared" si="41"/>
        <v>-0.9547803666921314</v>
      </c>
      <c r="S328" s="71">
        <v>2366</v>
      </c>
    </row>
    <row r="329" spans="1:19">
      <c r="A329" s="67">
        <v>289</v>
      </c>
      <c r="B329" s="74" t="s">
        <v>273</v>
      </c>
      <c r="C329" s="71">
        <v>1670</v>
      </c>
      <c r="D329" s="125" t="s">
        <v>366</v>
      </c>
      <c r="G329" s="61">
        <v>2710</v>
      </c>
      <c r="H329" s="61">
        <f t="shared" si="36"/>
        <v>1040</v>
      </c>
      <c r="I329" s="62">
        <f t="shared" si="37"/>
        <v>0.6227544910179641</v>
      </c>
      <c r="K329" s="61">
        <v>2168</v>
      </c>
      <c r="L329" s="61">
        <f t="shared" si="38"/>
        <v>498</v>
      </c>
      <c r="M329" s="62">
        <f t="shared" si="39"/>
        <v>0.29820359281437125</v>
      </c>
      <c r="O329" s="61">
        <v>2032.5</v>
      </c>
      <c r="P329" s="61">
        <f t="shared" si="40"/>
        <v>362.5</v>
      </c>
      <c r="Q329" s="62">
        <f t="shared" si="41"/>
        <v>0.21706586826347304</v>
      </c>
      <c r="S329" s="71">
        <v>1582</v>
      </c>
    </row>
    <row r="330" spans="1:19">
      <c r="A330" s="67">
        <v>290</v>
      </c>
      <c r="B330" s="74" t="s">
        <v>273</v>
      </c>
      <c r="C330" s="71">
        <v>59900</v>
      </c>
      <c r="D330" s="125" t="s">
        <v>365</v>
      </c>
      <c r="G330" s="61">
        <v>2710</v>
      </c>
      <c r="H330" s="61">
        <f t="shared" si="36"/>
        <v>-57190</v>
      </c>
      <c r="I330" s="62">
        <f t="shared" si="37"/>
        <v>-0.95475792988313857</v>
      </c>
      <c r="K330" s="61">
        <v>2168</v>
      </c>
      <c r="L330" s="61">
        <f t="shared" si="38"/>
        <v>-57732</v>
      </c>
      <c r="M330" s="62">
        <f t="shared" si="39"/>
        <v>-0.96380634390651088</v>
      </c>
      <c r="O330" s="61">
        <v>2032.5</v>
      </c>
      <c r="P330" s="61">
        <f t="shared" si="40"/>
        <v>-57867.5</v>
      </c>
      <c r="Q330" s="62">
        <f t="shared" si="41"/>
        <v>-0.96606844741235387</v>
      </c>
      <c r="S330" s="71">
        <v>729</v>
      </c>
    </row>
    <row r="331" spans="1:19">
      <c r="A331" s="67">
        <v>291</v>
      </c>
      <c r="B331" s="74" t="s">
        <v>274</v>
      </c>
      <c r="C331" s="71">
        <v>5860</v>
      </c>
      <c r="D331" s="125" t="s">
        <v>366</v>
      </c>
      <c r="G331" s="61">
        <v>5317</v>
      </c>
      <c r="H331" s="61">
        <f t="shared" si="36"/>
        <v>-543</v>
      </c>
      <c r="I331" s="62">
        <f t="shared" si="37"/>
        <v>-9.266211604095563E-2</v>
      </c>
      <c r="K331" s="61">
        <v>4253.6000000000004</v>
      </c>
      <c r="L331" s="61">
        <f t="shared" si="38"/>
        <v>-1606.3999999999996</v>
      </c>
      <c r="M331" s="62">
        <f t="shared" si="39"/>
        <v>-0.27412969283276445</v>
      </c>
      <c r="O331" s="61">
        <v>3987.75</v>
      </c>
      <c r="P331" s="61">
        <f t="shared" si="40"/>
        <v>-1872.25</v>
      </c>
      <c r="Q331" s="62">
        <f t="shared" si="41"/>
        <v>-0.31949658703071671</v>
      </c>
      <c r="S331" s="71">
        <v>1139</v>
      </c>
    </row>
    <row r="332" spans="1:19">
      <c r="A332" s="67">
        <v>292</v>
      </c>
      <c r="B332" s="74" t="s">
        <v>274</v>
      </c>
      <c r="C332" s="71">
        <v>210900</v>
      </c>
      <c r="D332" s="125" t="s">
        <v>365</v>
      </c>
      <c r="G332" s="61">
        <v>6421</v>
      </c>
      <c r="H332" s="61">
        <f t="shared" si="36"/>
        <v>-204479</v>
      </c>
      <c r="I332" s="62">
        <f t="shared" si="37"/>
        <v>-0.96955429113323854</v>
      </c>
      <c r="K332" s="61">
        <v>5136.8</v>
      </c>
      <c r="L332" s="61">
        <f t="shared" si="38"/>
        <v>-205763.20000000001</v>
      </c>
      <c r="M332" s="62">
        <f t="shared" si="39"/>
        <v>-0.97564343290659084</v>
      </c>
      <c r="O332" s="61">
        <v>4815.75</v>
      </c>
      <c r="P332" s="61">
        <f t="shared" si="40"/>
        <v>-206084.25</v>
      </c>
      <c r="Q332" s="62">
        <f t="shared" si="41"/>
        <v>-0.97716571834992882</v>
      </c>
      <c r="S332" s="71">
        <v>1139</v>
      </c>
    </row>
    <row r="333" spans="1:19">
      <c r="A333" s="67">
        <v>293</v>
      </c>
      <c r="B333" s="74" t="s">
        <v>275</v>
      </c>
      <c r="C333" s="71">
        <v>7220</v>
      </c>
      <c r="D333" s="125" t="s">
        <v>366</v>
      </c>
      <c r="G333" s="61">
        <v>6493</v>
      </c>
      <c r="H333" s="61">
        <f t="shared" si="36"/>
        <v>-727</v>
      </c>
      <c r="I333" s="62">
        <f t="shared" si="37"/>
        <v>-0.10069252077562327</v>
      </c>
      <c r="K333" s="61">
        <v>5194.3999999999996</v>
      </c>
      <c r="L333" s="61">
        <f t="shared" si="38"/>
        <v>-2025.6000000000004</v>
      </c>
      <c r="M333" s="62">
        <f t="shared" si="39"/>
        <v>-0.28055401662049867</v>
      </c>
      <c r="O333" s="61">
        <v>4869.75</v>
      </c>
      <c r="P333" s="61">
        <f t="shared" si="40"/>
        <v>-2350.25</v>
      </c>
      <c r="Q333" s="62">
        <f t="shared" si="41"/>
        <v>-0.32551939058171747</v>
      </c>
      <c r="S333" s="71">
        <v>1139</v>
      </c>
    </row>
    <row r="334" spans="1:19">
      <c r="A334" s="67">
        <v>294</v>
      </c>
      <c r="B334" s="74" t="s">
        <v>275</v>
      </c>
      <c r="C334" s="71">
        <v>259900</v>
      </c>
      <c r="D334" s="125" t="s">
        <v>365</v>
      </c>
      <c r="G334" s="61">
        <v>12529</v>
      </c>
      <c r="H334" s="61">
        <f t="shared" si="36"/>
        <v>-247371</v>
      </c>
      <c r="I334" s="62">
        <f t="shared" si="37"/>
        <v>-0.95179299730665645</v>
      </c>
      <c r="K334" s="61">
        <v>10023.200000000001</v>
      </c>
      <c r="L334" s="61">
        <f t="shared" si="38"/>
        <v>-249876.8</v>
      </c>
      <c r="M334" s="62">
        <f t="shared" si="39"/>
        <v>-0.96143439784532503</v>
      </c>
      <c r="O334" s="61">
        <v>9396.75</v>
      </c>
      <c r="P334" s="61">
        <f t="shared" si="40"/>
        <v>-250503.25</v>
      </c>
      <c r="Q334" s="62">
        <f t="shared" si="41"/>
        <v>-0.96384474797999231</v>
      </c>
      <c r="S334" s="71">
        <v>3457</v>
      </c>
    </row>
    <row r="335" spans="1:19">
      <c r="A335" s="67">
        <v>295</v>
      </c>
      <c r="B335" s="74" t="s">
        <v>276</v>
      </c>
      <c r="C335" s="71">
        <v>9640</v>
      </c>
      <c r="D335" s="125" t="s">
        <v>366</v>
      </c>
      <c r="G335" s="61">
        <v>9502</v>
      </c>
      <c r="H335" s="61">
        <f t="shared" si="36"/>
        <v>-138</v>
      </c>
      <c r="I335" s="62">
        <f t="shared" si="37"/>
        <v>-1.4315352697095435E-2</v>
      </c>
      <c r="K335" s="61">
        <v>7601.6</v>
      </c>
      <c r="L335" s="61">
        <f t="shared" si="38"/>
        <v>-2038.3999999999996</v>
      </c>
      <c r="M335" s="62">
        <f t="shared" si="39"/>
        <v>-0.21145228215767631</v>
      </c>
      <c r="O335" s="61">
        <v>7126.5</v>
      </c>
      <c r="P335" s="61">
        <f t="shared" si="40"/>
        <v>-2513.5</v>
      </c>
      <c r="Q335" s="62">
        <f t="shared" si="41"/>
        <v>-0.26073651452282159</v>
      </c>
      <c r="S335" s="71">
        <v>6821</v>
      </c>
    </row>
    <row r="336" spans="1:19">
      <c r="A336" s="67">
        <v>296</v>
      </c>
      <c r="B336" s="74" t="s">
        <v>276</v>
      </c>
      <c r="C336" s="71">
        <v>346900</v>
      </c>
      <c r="D336" s="125" t="s">
        <v>365</v>
      </c>
      <c r="G336" s="61">
        <v>20357</v>
      </c>
      <c r="H336" s="61">
        <f t="shared" si="36"/>
        <v>-326543</v>
      </c>
      <c r="I336" s="62">
        <f t="shared" si="37"/>
        <v>-0.94131738253098873</v>
      </c>
      <c r="K336" s="61">
        <v>16285.6</v>
      </c>
      <c r="L336" s="61">
        <f t="shared" si="38"/>
        <v>-330614.40000000002</v>
      </c>
      <c r="M336" s="62">
        <f t="shared" si="39"/>
        <v>-0.95305390602479112</v>
      </c>
      <c r="O336" s="61">
        <v>15267.75</v>
      </c>
      <c r="P336" s="61">
        <f t="shared" si="40"/>
        <v>-331632.25</v>
      </c>
      <c r="Q336" s="62">
        <f t="shared" si="41"/>
        <v>-0.95598803689824152</v>
      </c>
      <c r="S336" s="71">
        <v>4457</v>
      </c>
    </row>
    <row r="337" spans="1:19">
      <c r="A337" s="67">
        <v>297</v>
      </c>
      <c r="B337" s="74" t="s">
        <v>277</v>
      </c>
      <c r="C337" s="71">
        <v>14580</v>
      </c>
      <c r="D337" s="125" t="s">
        <v>366</v>
      </c>
      <c r="G337" s="61">
        <v>8240</v>
      </c>
      <c r="H337" s="61">
        <f t="shared" si="36"/>
        <v>-6340</v>
      </c>
      <c r="I337" s="62">
        <f t="shared" si="37"/>
        <v>-0.43484224965706447</v>
      </c>
      <c r="K337" s="61">
        <v>6592</v>
      </c>
      <c r="L337" s="61">
        <f t="shared" si="38"/>
        <v>-7988</v>
      </c>
      <c r="M337" s="62">
        <f t="shared" si="39"/>
        <v>-0.54787379972565153</v>
      </c>
      <c r="O337" s="61">
        <v>6180</v>
      </c>
      <c r="P337" s="61">
        <f t="shared" si="40"/>
        <v>-8400</v>
      </c>
      <c r="Q337" s="62">
        <f t="shared" si="41"/>
        <v>-0.5761316872427984</v>
      </c>
      <c r="S337" s="71">
        <v>2547</v>
      </c>
    </row>
    <row r="338" spans="1:19">
      <c r="A338" s="67">
        <v>298</v>
      </c>
      <c r="B338" s="74" t="s">
        <v>277</v>
      </c>
      <c r="C338" s="71">
        <v>524900</v>
      </c>
      <c r="D338" s="125" t="s">
        <v>365</v>
      </c>
      <c r="G338" s="61">
        <v>20991</v>
      </c>
      <c r="H338" s="61">
        <f t="shared" si="36"/>
        <v>-503909</v>
      </c>
      <c r="I338" s="62">
        <f t="shared" si="37"/>
        <v>-0.96000952562392838</v>
      </c>
      <c r="K338" s="61">
        <v>16792.8</v>
      </c>
      <c r="L338" s="61">
        <f t="shared" si="38"/>
        <v>-508107.2</v>
      </c>
      <c r="M338" s="62">
        <f t="shared" si="39"/>
        <v>-0.96800762049914268</v>
      </c>
      <c r="O338" s="61">
        <v>15743.25</v>
      </c>
      <c r="P338" s="61">
        <f t="shared" si="40"/>
        <v>-509156.75</v>
      </c>
      <c r="Q338" s="62">
        <f t="shared" si="41"/>
        <v>-0.97000714421794632</v>
      </c>
      <c r="S338" s="71">
        <v>6821</v>
      </c>
    </row>
    <row r="339" spans="1:19">
      <c r="A339" s="67">
        <v>299</v>
      </c>
      <c r="B339" s="74" t="s">
        <v>278</v>
      </c>
      <c r="C339" s="71">
        <v>2980</v>
      </c>
      <c r="D339" s="125" t="s">
        <v>366</v>
      </c>
      <c r="G339" s="61">
        <v>2715</v>
      </c>
      <c r="H339" s="61">
        <f t="shared" si="36"/>
        <v>-265</v>
      </c>
      <c r="I339" s="62">
        <f t="shared" si="37"/>
        <v>-8.8926174496644292E-2</v>
      </c>
      <c r="K339" s="61">
        <v>2172</v>
      </c>
      <c r="L339" s="61">
        <f t="shared" si="38"/>
        <v>-808</v>
      </c>
      <c r="M339" s="62">
        <f t="shared" si="39"/>
        <v>-0.27114093959731544</v>
      </c>
      <c r="O339" s="61">
        <v>2036.25</v>
      </c>
      <c r="P339" s="61">
        <f t="shared" si="40"/>
        <v>-943.75</v>
      </c>
      <c r="Q339" s="62">
        <f t="shared" si="41"/>
        <v>-0.31669463087248323</v>
      </c>
      <c r="S339" s="71">
        <v>2274</v>
      </c>
    </row>
    <row r="340" spans="1:19">
      <c r="A340" s="67">
        <v>300</v>
      </c>
      <c r="B340" s="74" t="s">
        <v>278</v>
      </c>
      <c r="C340" s="71">
        <v>35700</v>
      </c>
      <c r="D340" s="125" t="s">
        <v>365</v>
      </c>
      <c r="G340" s="61">
        <v>4439</v>
      </c>
      <c r="H340" s="61">
        <f t="shared" si="36"/>
        <v>-31261</v>
      </c>
      <c r="I340" s="62">
        <f t="shared" si="37"/>
        <v>-0.87565826330532215</v>
      </c>
      <c r="K340" s="61">
        <v>3551.2</v>
      </c>
      <c r="L340" s="61">
        <f t="shared" si="38"/>
        <v>-32148.799999999999</v>
      </c>
      <c r="M340" s="62">
        <f t="shared" si="39"/>
        <v>-0.90052661064425765</v>
      </c>
      <c r="O340" s="61">
        <v>3329.25</v>
      </c>
      <c r="P340" s="61">
        <f t="shared" si="40"/>
        <v>-32370.75</v>
      </c>
      <c r="Q340" s="62">
        <f t="shared" si="41"/>
        <v>-0.90674369747899164</v>
      </c>
      <c r="S340" s="71">
        <v>4093</v>
      </c>
    </row>
    <row r="341" spans="1:19">
      <c r="A341" s="67">
        <v>301</v>
      </c>
      <c r="B341" s="74" t="s">
        <v>279</v>
      </c>
      <c r="C341" s="71">
        <v>4470</v>
      </c>
      <c r="D341" s="125" t="s">
        <v>366</v>
      </c>
      <c r="G341" s="61">
        <v>3280</v>
      </c>
      <c r="H341" s="61">
        <f t="shared" si="36"/>
        <v>-1190</v>
      </c>
      <c r="I341" s="62">
        <f t="shared" si="37"/>
        <v>-0.26621923937360181</v>
      </c>
      <c r="K341" s="61">
        <v>2624</v>
      </c>
      <c r="L341" s="61">
        <f t="shared" si="38"/>
        <v>-1846</v>
      </c>
      <c r="M341" s="62">
        <f t="shared" si="39"/>
        <v>-0.41297539149888141</v>
      </c>
      <c r="O341" s="61">
        <v>2460</v>
      </c>
      <c r="P341" s="61">
        <f t="shared" si="40"/>
        <v>-2010</v>
      </c>
      <c r="Q341" s="62">
        <f t="shared" si="41"/>
        <v>-0.44966442953020136</v>
      </c>
      <c r="S341" s="71">
        <v>2274</v>
      </c>
    </row>
    <row r="342" spans="1:19">
      <c r="A342" s="67">
        <v>302</v>
      </c>
      <c r="B342" s="74" t="s">
        <v>279</v>
      </c>
      <c r="C342" s="71">
        <v>53550</v>
      </c>
      <c r="D342" s="125" t="s">
        <v>365</v>
      </c>
      <c r="G342" s="61">
        <v>6023</v>
      </c>
      <c r="H342" s="61">
        <f t="shared" si="36"/>
        <v>-47527</v>
      </c>
      <c r="I342" s="62">
        <f t="shared" si="37"/>
        <v>-0.88752567693744167</v>
      </c>
      <c r="K342" s="61">
        <v>4818.3999999999996</v>
      </c>
      <c r="L342" s="61">
        <f t="shared" si="38"/>
        <v>-48731.6</v>
      </c>
      <c r="M342" s="62">
        <f t="shared" si="39"/>
        <v>-0.91002054154995327</v>
      </c>
      <c r="O342" s="61">
        <v>4517.25</v>
      </c>
      <c r="P342" s="61">
        <f t="shared" si="40"/>
        <v>-49032.75</v>
      </c>
      <c r="Q342" s="62">
        <f t="shared" si="41"/>
        <v>-0.91564425770308122</v>
      </c>
      <c r="S342" s="71">
        <v>6366</v>
      </c>
    </row>
    <row r="343" spans="1:19">
      <c r="A343" s="67">
        <v>303</v>
      </c>
      <c r="B343" s="74" t="s">
        <v>280</v>
      </c>
      <c r="C343" s="71">
        <v>7440</v>
      </c>
      <c r="D343" s="125" t="s">
        <v>366</v>
      </c>
      <c r="G343" s="61">
        <v>9190</v>
      </c>
      <c r="H343" s="61">
        <f t="shared" si="36"/>
        <v>1750</v>
      </c>
      <c r="I343" s="62">
        <f t="shared" si="37"/>
        <v>0.23521505376344087</v>
      </c>
      <c r="K343" s="61">
        <v>7352</v>
      </c>
      <c r="L343" s="61">
        <f t="shared" si="38"/>
        <v>-88</v>
      </c>
      <c r="M343" s="62">
        <f t="shared" si="39"/>
        <v>-1.1827956989247311E-2</v>
      </c>
      <c r="O343" s="61">
        <v>6892.5</v>
      </c>
      <c r="P343" s="61">
        <f t="shared" si="40"/>
        <v>-547.5</v>
      </c>
      <c r="Q343" s="62">
        <f t="shared" si="41"/>
        <v>-7.3588709677419359E-2</v>
      </c>
      <c r="S343" s="71">
        <v>1638</v>
      </c>
    </row>
    <row r="344" spans="1:19">
      <c r="A344" s="67">
        <v>304</v>
      </c>
      <c r="B344" s="74" t="s">
        <v>280</v>
      </c>
      <c r="C344" s="71">
        <v>89250</v>
      </c>
      <c r="D344" s="125" t="s">
        <v>365</v>
      </c>
      <c r="G344" s="61">
        <v>9190</v>
      </c>
      <c r="H344" s="61">
        <f t="shared" si="36"/>
        <v>-80060</v>
      </c>
      <c r="I344" s="62">
        <f t="shared" si="37"/>
        <v>-0.89703081232492998</v>
      </c>
      <c r="K344" s="61">
        <v>7352</v>
      </c>
      <c r="L344" s="61">
        <f t="shared" si="38"/>
        <v>-81898</v>
      </c>
      <c r="M344" s="62">
        <f t="shared" si="39"/>
        <v>-0.91762464985994396</v>
      </c>
      <c r="O344" s="61">
        <v>6892.5</v>
      </c>
      <c r="P344" s="61">
        <f t="shared" si="40"/>
        <v>-82357.5</v>
      </c>
      <c r="Q344" s="62">
        <f t="shared" si="41"/>
        <v>-0.92277310924369749</v>
      </c>
      <c r="S344" s="71">
        <v>1548</v>
      </c>
    </row>
    <row r="345" spans="1:19">
      <c r="A345" s="67">
        <v>305</v>
      </c>
      <c r="B345" s="74" t="s">
        <v>281</v>
      </c>
      <c r="C345" s="71">
        <v>37800</v>
      </c>
      <c r="D345" s="125" t="s">
        <v>365</v>
      </c>
      <c r="G345" s="61">
        <v>1385</v>
      </c>
      <c r="H345" s="61">
        <f t="shared" si="36"/>
        <v>-36415</v>
      </c>
      <c r="I345" s="62">
        <f t="shared" si="37"/>
        <v>-0.9633597883597883</v>
      </c>
      <c r="K345" s="61">
        <v>1108</v>
      </c>
      <c r="L345" s="61">
        <f t="shared" si="38"/>
        <v>-36692</v>
      </c>
      <c r="M345" s="62">
        <f t="shared" si="39"/>
        <v>-0.97068783068783071</v>
      </c>
      <c r="O345" s="61">
        <v>1038.75</v>
      </c>
      <c r="P345" s="61">
        <f t="shared" si="40"/>
        <v>-36761.25</v>
      </c>
      <c r="Q345" s="62">
        <f t="shared" si="41"/>
        <v>-0.97251984126984126</v>
      </c>
      <c r="S345" s="71">
        <v>89111</v>
      </c>
    </row>
    <row r="346" spans="1:19">
      <c r="A346" s="67">
        <v>306</v>
      </c>
      <c r="B346" s="74" t="s">
        <v>282</v>
      </c>
      <c r="C346" s="71">
        <v>37800</v>
      </c>
      <c r="D346" s="125" t="s">
        <v>365</v>
      </c>
      <c r="G346" s="61">
        <v>1385</v>
      </c>
      <c r="H346" s="61">
        <f t="shared" si="36"/>
        <v>-36415</v>
      </c>
      <c r="I346" s="62">
        <f t="shared" si="37"/>
        <v>-0.9633597883597883</v>
      </c>
      <c r="K346" s="61">
        <v>1108</v>
      </c>
      <c r="L346" s="61">
        <f t="shared" si="38"/>
        <v>-36692</v>
      </c>
      <c r="M346" s="62">
        <f t="shared" si="39"/>
        <v>-0.97068783068783071</v>
      </c>
      <c r="O346" s="61">
        <v>1038.75</v>
      </c>
      <c r="P346" s="61">
        <f t="shared" si="40"/>
        <v>-36761.25</v>
      </c>
      <c r="Q346" s="62">
        <f t="shared" si="41"/>
        <v>-0.97251984126984126</v>
      </c>
      <c r="S346" s="71">
        <v>10891</v>
      </c>
    </row>
    <row r="347" spans="1:19">
      <c r="A347" s="67">
        <v>307</v>
      </c>
      <c r="B347" s="74" t="s">
        <v>283</v>
      </c>
      <c r="C347" s="71">
        <v>37800</v>
      </c>
      <c r="D347" s="125" t="s">
        <v>365</v>
      </c>
      <c r="G347" s="61">
        <v>1385</v>
      </c>
      <c r="H347" s="61">
        <f t="shared" si="36"/>
        <v>-36415</v>
      </c>
      <c r="I347" s="62">
        <f t="shared" si="37"/>
        <v>-0.9633597883597883</v>
      </c>
      <c r="K347" s="61">
        <v>1108</v>
      </c>
      <c r="L347" s="61">
        <f t="shared" si="38"/>
        <v>-36692</v>
      </c>
      <c r="M347" s="62">
        <f t="shared" si="39"/>
        <v>-0.97068783068783071</v>
      </c>
      <c r="O347" s="61">
        <v>1038.75</v>
      </c>
      <c r="P347" s="61">
        <f t="shared" si="40"/>
        <v>-36761.25</v>
      </c>
      <c r="Q347" s="62">
        <f t="shared" si="41"/>
        <v>-0.97251984126984126</v>
      </c>
      <c r="S347" s="71">
        <v>5457</v>
      </c>
    </row>
    <row r="348" spans="1:19">
      <c r="A348" s="67">
        <v>308</v>
      </c>
      <c r="B348" s="74" t="s">
        <v>284</v>
      </c>
      <c r="C348" s="71">
        <v>37800</v>
      </c>
      <c r="D348" s="125" t="s">
        <v>365</v>
      </c>
      <c r="G348" s="61">
        <v>1385</v>
      </c>
      <c r="H348" s="61">
        <f t="shared" si="36"/>
        <v>-36415</v>
      </c>
      <c r="I348" s="62">
        <f t="shared" si="37"/>
        <v>-0.9633597883597883</v>
      </c>
      <c r="K348" s="61">
        <v>1108</v>
      </c>
      <c r="L348" s="61">
        <f t="shared" si="38"/>
        <v>-36692</v>
      </c>
      <c r="M348" s="62">
        <f t="shared" si="39"/>
        <v>-0.97068783068783071</v>
      </c>
      <c r="O348" s="61">
        <v>1038.75</v>
      </c>
      <c r="P348" s="61">
        <f t="shared" si="40"/>
        <v>-36761.25</v>
      </c>
      <c r="Q348" s="62">
        <f t="shared" si="41"/>
        <v>-0.97251984126984126</v>
      </c>
      <c r="S348" s="71">
        <v>6063</v>
      </c>
    </row>
    <row r="349" spans="1:19">
      <c r="A349" s="67">
        <v>309</v>
      </c>
      <c r="B349" s="74" t="s">
        <v>285</v>
      </c>
      <c r="C349" s="71">
        <v>81870</v>
      </c>
      <c r="D349" s="125" t="s">
        <v>365</v>
      </c>
      <c r="G349" s="61">
        <v>1731</v>
      </c>
      <c r="H349" s="61">
        <f t="shared" si="36"/>
        <v>-80139</v>
      </c>
      <c r="I349" s="62">
        <f t="shared" si="37"/>
        <v>-0.97885672407475266</v>
      </c>
      <c r="K349" s="61">
        <v>1384.8</v>
      </c>
      <c r="L349" s="61">
        <f t="shared" si="38"/>
        <v>-80485.2</v>
      </c>
      <c r="M349" s="62">
        <f t="shared" si="39"/>
        <v>-0.98308537925980211</v>
      </c>
      <c r="O349" s="61">
        <v>1298.25</v>
      </c>
      <c r="P349" s="61">
        <f t="shared" si="40"/>
        <v>-80571.75</v>
      </c>
      <c r="Q349" s="62">
        <f t="shared" si="41"/>
        <v>-0.98414254305606452</v>
      </c>
      <c r="S349" s="71">
        <v>6429</v>
      </c>
    </row>
    <row r="350" spans="1:19">
      <c r="A350" s="67">
        <v>310</v>
      </c>
      <c r="B350" s="74" t="s">
        <v>286</v>
      </c>
      <c r="C350" s="71">
        <v>81870</v>
      </c>
      <c r="D350" s="125" t="s">
        <v>365</v>
      </c>
      <c r="G350" s="61">
        <v>1731</v>
      </c>
      <c r="H350" s="61">
        <f t="shared" si="36"/>
        <v>-80139</v>
      </c>
      <c r="I350" s="62">
        <f t="shared" si="37"/>
        <v>-0.97885672407475266</v>
      </c>
      <c r="K350" s="61">
        <v>1384.8</v>
      </c>
      <c r="L350" s="61">
        <f t="shared" si="38"/>
        <v>-80485.2</v>
      </c>
      <c r="M350" s="62">
        <f t="shared" si="39"/>
        <v>-0.98308537925980211</v>
      </c>
      <c r="O350" s="61">
        <v>1298.25</v>
      </c>
      <c r="P350" s="61">
        <f t="shared" si="40"/>
        <v>-80571.75</v>
      </c>
      <c r="Q350" s="62">
        <f t="shared" si="41"/>
        <v>-0.98414254305606452</v>
      </c>
      <c r="S350" s="71">
        <v>16369</v>
      </c>
    </row>
    <row r="351" spans="1:19">
      <c r="A351" s="67">
        <v>311</v>
      </c>
      <c r="B351" s="74" t="s">
        <v>287</v>
      </c>
      <c r="C351" s="71">
        <v>81870</v>
      </c>
      <c r="D351" s="125" t="s">
        <v>365</v>
      </c>
      <c r="G351" s="61">
        <v>1731</v>
      </c>
      <c r="H351" s="61">
        <f t="shared" si="36"/>
        <v>-80139</v>
      </c>
      <c r="I351" s="62">
        <f t="shared" si="37"/>
        <v>-0.97885672407475266</v>
      </c>
      <c r="K351" s="61">
        <v>1384.8</v>
      </c>
      <c r="L351" s="61">
        <f t="shared" si="38"/>
        <v>-80485.2</v>
      </c>
      <c r="M351" s="62">
        <f t="shared" si="39"/>
        <v>-0.98308537925980211</v>
      </c>
      <c r="O351" s="61">
        <v>1298.25</v>
      </c>
      <c r="P351" s="61">
        <f t="shared" si="40"/>
        <v>-80571.75</v>
      </c>
      <c r="Q351" s="62">
        <f t="shared" si="41"/>
        <v>-0.98414254305606452</v>
      </c>
      <c r="S351" s="71">
        <v>48011</v>
      </c>
    </row>
    <row r="352" spans="1:19">
      <c r="A352" s="67">
        <v>312</v>
      </c>
      <c r="B352" s="74" t="s">
        <v>288</v>
      </c>
      <c r="C352" s="71">
        <v>81870</v>
      </c>
      <c r="D352" s="125" t="s">
        <v>365</v>
      </c>
      <c r="G352" s="61">
        <v>1731</v>
      </c>
      <c r="H352" s="61">
        <f t="shared" si="36"/>
        <v>-80139</v>
      </c>
      <c r="I352" s="62">
        <f t="shared" si="37"/>
        <v>-0.97885672407475266</v>
      </c>
      <c r="K352" s="61">
        <v>1384.8</v>
      </c>
      <c r="L352" s="61">
        <f t="shared" si="38"/>
        <v>-80485.2</v>
      </c>
      <c r="M352" s="62">
        <f t="shared" si="39"/>
        <v>-0.98308537925980211</v>
      </c>
      <c r="O352" s="61">
        <v>1298.25</v>
      </c>
      <c r="P352" s="61">
        <f t="shared" si="40"/>
        <v>-80571.75</v>
      </c>
      <c r="Q352" s="62">
        <f t="shared" si="41"/>
        <v>-0.98414254305606452</v>
      </c>
      <c r="S352" s="71">
        <v>4366</v>
      </c>
    </row>
    <row r="353" spans="1:19">
      <c r="A353" s="67">
        <v>313</v>
      </c>
      <c r="B353" s="74" t="s">
        <v>289</v>
      </c>
      <c r="C353" s="71">
        <v>70350</v>
      </c>
      <c r="D353" s="125" t="s">
        <v>365</v>
      </c>
      <c r="G353" s="61">
        <v>2597</v>
      </c>
      <c r="H353" s="61">
        <f t="shared" si="36"/>
        <v>-67753</v>
      </c>
      <c r="I353" s="62">
        <f t="shared" si="37"/>
        <v>-0.96308457711442785</v>
      </c>
      <c r="K353" s="61">
        <v>2077.6</v>
      </c>
      <c r="L353" s="61">
        <f t="shared" si="38"/>
        <v>-68272.399999999994</v>
      </c>
      <c r="M353" s="62">
        <f t="shared" si="39"/>
        <v>-0.97046766169154219</v>
      </c>
      <c r="O353" s="61">
        <v>1947.75</v>
      </c>
      <c r="P353" s="61">
        <f t="shared" si="40"/>
        <v>-68402.25</v>
      </c>
      <c r="Q353" s="62">
        <f t="shared" si="41"/>
        <v>-0.97231343283582095</v>
      </c>
      <c r="S353" s="71">
        <v>3566</v>
      </c>
    </row>
    <row r="354" spans="1:19">
      <c r="A354" s="67">
        <v>314</v>
      </c>
      <c r="B354" s="74" t="s">
        <v>290</v>
      </c>
      <c r="C354" s="71">
        <v>70350</v>
      </c>
      <c r="D354" s="125" t="s">
        <v>365</v>
      </c>
      <c r="G354" s="61">
        <v>2597</v>
      </c>
      <c r="H354" s="61">
        <f t="shared" si="36"/>
        <v>-67753</v>
      </c>
      <c r="I354" s="62">
        <f t="shared" si="37"/>
        <v>-0.96308457711442785</v>
      </c>
      <c r="K354" s="61">
        <v>2077.6</v>
      </c>
      <c r="L354" s="61">
        <f t="shared" si="38"/>
        <v>-68272.399999999994</v>
      </c>
      <c r="M354" s="62">
        <f t="shared" si="39"/>
        <v>-0.97046766169154219</v>
      </c>
      <c r="O354" s="61">
        <v>1947.75</v>
      </c>
      <c r="P354" s="61">
        <f t="shared" si="40"/>
        <v>-68402.25</v>
      </c>
      <c r="Q354" s="62">
        <f t="shared" si="41"/>
        <v>-0.97231343283582095</v>
      </c>
      <c r="S354" s="71">
        <v>6366</v>
      </c>
    </row>
    <row r="355" spans="1:19">
      <c r="A355" s="67">
        <v>315</v>
      </c>
      <c r="B355" s="74" t="s">
        <v>291</v>
      </c>
      <c r="C355" s="71">
        <v>70350</v>
      </c>
      <c r="D355" s="125" t="s">
        <v>365</v>
      </c>
      <c r="G355" s="61">
        <v>2597</v>
      </c>
      <c r="H355" s="61">
        <f t="shared" si="36"/>
        <v>-67753</v>
      </c>
      <c r="I355" s="62">
        <f t="shared" si="37"/>
        <v>-0.96308457711442785</v>
      </c>
      <c r="K355" s="61">
        <v>2077.6</v>
      </c>
      <c r="L355" s="61">
        <f t="shared" si="38"/>
        <v>-68272.399999999994</v>
      </c>
      <c r="M355" s="62">
        <f t="shared" si="39"/>
        <v>-0.97046766169154219</v>
      </c>
      <c r="O355" s="61">
        <v>1947.75</v>
      </c>
      <c r="P355" s="61">
        <f t="shared" si="40"/>
        <v>-68402.25</v>
      </c>
      <c r="Q355" s="62">
        <f t="shared" si="41"/>
        <v>-0.97231343283582095</v>
      </c>
      <c r="S355" s="71">
        <v>10004</v>
      </c>
    </row>
    <row r="356" spans="1:19">
      <c r="A356" s="67">
        <v>316</v>
      </c>
      <c r="B356" s="74" t="s">
        <v>292</v>
      </c>
      <c r="C356" s="71">
        <v>70350</v>
      </c>
      <c r="D356" s="125" t="s">
        <v>365</v>
      </c>
      <c r="G356" s="61">
        <v>2597</v>
      </c>
      <c r="H356" s="61">
        <f t="shared" si="36"/>
        <v>-67753</v>
      </c>
      <c r="I356" s="62">
        <f t="shared" si="37"/>
        <v>-0.96308457711442785</v>
      </c>
      <c r="K356" s="61">
        <v>2077.6</v>
      </c>
      <c r="L356" s="61">
        <f t="shared" si="38"/>
        <v>-68272.399999999994</v>
      </c>
      <c r="M356" s="62">
        <f t="shared" si="39"/>
        <v>-0.97046766169154219</v>
      </c>
      <c r="O356" s="61">
        <v>1947.75</v>
      </c>
      <c r="P356" s="61">
        <f t="shared" si="40"/>
        <v>-68402.25</v>
      </c>
      <c r="Q356" s="62">
        <f t="shared" si="41"/>
        <v>-0.97231343283582095</v>
      </c>
      <c r="S356" s="71">
        <v>10476</v>
      </c>
    </row>
    <row r="357" spans="1:19">
      <c r="A357" s="67">
        <v>317</v>
      </c>
      <c r="B357" s="74" t="s">
        <v>293</v>
      </c>
      <c r="C357" s="71">
        <v>121785</v>
      </c>
      <c r="D357" s="125" t="s">
        <v>365</v>
      </c>
      <c r="G357" s="61">
        <v>5983</v>
      </c>
      <c r="H357" s="61">
        <f t="shared" si="36"/>
        <v>-115802</v>
      </c>
      <c r="I357" s="62">
        <f t="shared" si="37"/>
        <v>-0.95087243913454034</v>
      </c>
      <c r="K357" s="61">
        <v>4786.3999999999996</v>
      </c>
      <c r="L357" s="61">
        <f t="shared" si="38"/>
        <v>-116998.6</v>
      </c>
      <c r="M357" s="62">
        <f t="shared" si="39"/>
        <v>-0.96069795130763236</v>
      </c>
      <c r="O357" s="61">
        <v>4487.25</v>
      </c>
      <c r="P357" s="61">
        <f t="shared" si="40"/>
        <v>-117297.75</v>
      </c>
      <c r="Q357" s="62">
        <f t="shared" si="41"/>
        <v>-0.96315432935090528</v>
      </c>
      <c r="S357" s="71">
        <v>24006</v>
      </c>
    </row>
    <row r="358" spans="1:19">
      <c r="A358" s="67">
        <v>318</v>
      </c>
      <c r="B358" s="74" t="s">
        <v>294</v>
      </c>
      <c r="C358" s="71">
        <v>121785</v>
      </c>
      <c r="D358" s="125" t="s">
        <v>365</v>
      </c>
      <c r="G358" s="61">
        <v>5983</v>
      </c>
      <c r="H358" s="61">
        <f t="shared" si="36"/>
        <v>-115802</v>
      </c>
      <c r="I358" s="62">
        <f t="shared" si="37"/>
        <v>-0.95087243913454034</v>
      </c>
      <c r="K358" s="61">
        <v>4786.3999999999996</v>
      </c>
      <c r="L358" s="61">
        <f t="shared" si="38"/>
        <v>-116998.6</v>
      </c>
      <c r="M358" s="62">
        <f t="shared" si="39"/>
        <v>-0.96069795130763236</v>
      </c>
      <c r="O358" s="61">
        <v>4487.25</v>
      </c>
      <c r="P358" s="61">
        <f t="shared" si="40"/>
        <v>-117297.75</v>
      </c>
      <c r="Q358" s="62">
        <f t="shared" si="41"/>
        <v>-0.96315432935090528</v>
      </c>
      <c r="S358" s="71">
        <v>29462</v>
      </c>
    </row>
    <row r="359" spans="1:19">
      <c r="A359" s="67">
        <v>319</v>
      </c>
      <c r="B359" s="74" t="s">
        <v>295</v>
      </c>
      <c r="C359" s="71">
        <v>121785</v>
      </c>
      <c r="D359" s="125" t="s">
        <v>365</v>
      </c>
      <c r="G359" s="61">
        <v>5983</v>
      </c>
      <c r="H359" s="61">
        <f t="shared" si="36"/>
        <v>-115802</v>
      </c>
      <c r="I359" s="62">
        <f t="shared" si="37"/>
        <v>-0.95087243913454034</v>
      </c>
      <c r="K359" s="61">
        <v>4786.3999999999996</v>
      </c>
      <c r="L359" s="61">
        <f t="shared" si="38"/>
        <v>-116998.6</v>
      </c>
      <c r="M359" s="62">
        <f t="shared" si="39"/>
        <v>-0.96069795130763236</v>
      </c>
      <c r="O359" s="61">
        <v>4487.25</v>
      </c>
      <c r="P359" s="61">
        <f t="shared" si="40"/>
        <v>-117297.75</v>
      </c>
      <c r="Q359" s="62">
        <f t="shared" si="41"/>
        <v>-0.96315432935090528</v>
      </c>
      <c r="S359" s="71">
        <v>30990</v>
      </c>
    </row>
    <row r="360" spans="1:19">
      <c r="A360" s="67">
        <v>320</v>
      </c>
      <c r="B360" s="74" t="s">
        <v>296</v>
      </c>
      <c r="C360" s="71">
        <v>121785</v>
      </c>
      <c r="D360" s="125" t="s">
        <v>365</v>
      </c>
      <c r="G360" s="61">
        <v>5983</v>
      </c>
      <c r="H360" s="61">
        <f t="shared" si="36"/>
        <v>-115802</v>
      </c>
      <c r="I360" s="62">
        <f t="shared" si="37"/>
        <v>-0.95087243913454034</v>
      </c>
      <c r="K360" s="61">
        <v>4786.3999999999996</v>
      </c>
      <c r="L360" s="61">
        <f t="shared" si="38"/>
        <v>-116998.6</v>
      </c>
      <c r="M360" s="62">
        <f t="shared" si="39"/>
        <v>-0.96069795130763236</v>
      </c>
      <c r="O360" s="61">
        <v>4487.25</v>
      </c>
      <c r="P360" s="61">
        <f t="shared" si="40"/>
        <v>-117297.75</v>
      </c>
      <c r="Q360" s="62">
        <f t="shared" si="41"/>
        <v>-0.96315432935090528</v>
      </c>
      <c r="S360" s="71">
        <v>67652</v>
      </c>
    </row>
    <row r="361" spans="1:19">
      <c r="A361" s="67">
        <v>321</v>
      </c>
      <c r="B361" s="74" t="s">
        <v>297</v>
      </c>
      <c r="C361" s="71">
        <v>782920</v>
      </c>
      <c r="D361" s="125" t="s">
        <v>365</v>
      </c>
      <c r="G361" s="61">
        <v>17818</v>
      </c>
      <c r="H361" s="61">
        <f t="shared" si="36"/>
        <v>-765102</v>
      </c>
      <c r="I361" s="62">
        <f t="shared" si="37"/>
        <v>-0.97724160833801665</v>
      </c>
      <c r="K361" s="61">
        <v>14254.4</v>
      </c>
      <c r="L361" s="61">
        <f t="shared" si="38"/>
        <v>-768665.59999999998</v>
      </c>
      <c r="M361" s="62">
        <f t="shared" si="39"/>
        <v>-0.98179328667041332</v>
      </c>
      <c r="O361" s="61">
        <v>13363.5</v>
      </c>
      <c r="P361" s="61">
        <f t="shared" si="40"/>
        <v>-769556.5</v>
      </c>
      <c r="Q361" s="62">
        <f t="shared" si="41"/>
        <v>-0.98293120625351249</v>
      </c>
      <c r="S361" s="71">
        <v>3166</v>
      </c>
    </row>
    <row r="362" spans="1:19">
      <c r="A362" s="67">
        <v>322</v>
      </c>
      <c r="B362" s="74" t="s">
        <v>298</v>
      </c>
      <c r="C362" s="71">
        <v>782920</v>
      </c>
      <c r="D362" s="125" t="s">
        <v>365</v>
      </c>
      <c r="G362" s="61">
        <v>17818</v>
      </c>
      <c r="H362" s="61">
        <f t="shared" si="36"/>
        <v>-765102</v>
      </c>
      <c r="I362" s="62">
        <f t="shared" si="37"/>
        <v>-0.97724160833801665</v>
      </c>
      <c r="K362" s="61">
        <v>14254.4</v>
      </c>
      <c r="L362" s="61">
        <f t="shared" si="38"/>
        <v>-768665.59999999998</v>
      </c>
      <c r="M362" s="62">
        <f t="shared" si="39"/>
        <v>-0.98179328667041332</v>
      </c>
      <c r="O362" s="61">
        <v>13363.5</v>
      </c>
      <c r="P362" s="61">
        <f t="shared" si="40"/>
        <v>-769556.5</v>
      </c>
      <c r="Q362" s="62">
        <f t="shared" si="41"/>
        <v>-0.98293120625351249</v>
      </c>
      <c r="S362" s="71">
        <v>40373</v>
      </c>
    </row>
    <row r="363" spans="1:19">
      <c r="A363" s="67">
        <v>323</v>
      </c>
      <c r="B363" s="74" t="s">
        <v>299</v>
      </c>
      <c r="C363" s="71">
        <v>782920</v>
      </c>
      <c r="D363" s="125" t="s">
        <v>365</v>
      </c>
      <c r="G363" s="61">
        <v>17818</v>
      </c>
      <c r="H363" s="61">
        <f t="shared" si="36"/>
        <v>-765102</v>
      </c>
      <c r="I363" s="62">
        <f t="shared" si="37"/>
        <v>-0.97724160833801665</v>
      </c>
      <c r="K363" s="61">
        <v>14254.4</v>
      </c>
      <c r="L363" s="61">
        <f t="shared" si="38"/>
        <v>-768665.59999999998</v>
      </c>
      <c r="M363" s="62">
        <f t="shared" si="39"/>
        <v>-0.98179328667041332</v>
      </c>
      <c r="O363" s="61">
        <v>13363.5</v>
      </c>
      <c r="P363" s="61">
        <f t="shared" si="40"/>
        <v>-769556.5</v>
      </c>
      <c r="Q363" s="62">
        <f t="shared" si="41"/>
        <v>-0.98293120625351249</v>
      </c>
      <c r="S363" s="71">
        <v>45829</v>
      </c>
    </row>
    <row r="364" spans="1:19">
      <c r="A364" s="67">
        <v>324</v>
      </c>
      <c r="B364" s="74" t="s">
        <v>300</v>
      </c>
      <c r="C364" s="71">
        <v>374300</v>
      </c>
      <c r="D364" s="125" t="s">
        <v>365</v>
      </c>
      <c r="G364" s="61">
        <v>17077</v>
      </c>
      <c r="H364" s="61">
        <f t="shared" si="36"/>
        <v>-357223</v>
      </c>
      <c r="I364" s="62">
        <f t="shared" si="37"/>
        <v>-0.95437616884851728</v>
      </c>
      <c r="K364" s="61">
        <v>13661.6</v>
      </c>
      <c r="L364" s="61">
        <f t="shared" si="38"/>
        <v>-360638.4</v>
      </c>
      <c r="M364" s="62">
        <f t="shared" si="39"/>
        <v>-0.96350093507881385</v>
      </c>
      <c r="O364" s="61">
        <v>12807.75</v>
      </c>
      <c r="P364" s="61">
        <f t="shared" si="40"/>
        <v>-361492.25</v>
      </c>
      <c r="Q364" s="62">
        <f t="shared" si="41"/>
        <v>-0.96578212663638796</v>
      </c>
      <c r="S364" s="71">
        <v>18551</v>
      </c>
    </row>
    <row r="365" spans="1:19">
      <c r="A365" s="67">
        <v>325</v>
      </c>
      <c r="B365" s="74" t="s">
        <v>301</v>
      </c>
      <c r="C365" s="71">
        <v>374300</v>
      </c>
      <c r="D365" s="125" t="s">
        <v>365</v>
      </c>
      <c r="G365" s="61">
        <v>17077</v>
      </c>
      <c r="H365" s="61">
        <f t="shared" si="36"/>
        <v>-357223</v>
      </c>
      <c r="I365" s="62">
        <f t="shared" si="37"/>
        <v>-0.95437616884851728</v>
      </c>
      <c r="K365" s="61">
        <v>13661.6</v>
      </c>
      <c r="L365" s="61">
        <f t="shared" si="38"/>
        <v>-360638.4</v>
      </c>
      <c r="M365" s="62">
        <f t="shared" si="39"/>
        <v>-0.96350093507881385</v>
      </c>
      <c r="O365" s="61">
        <v>12807.75</v>
      </c>
      <c r="P365" s="61">
        <f t="shared" si="40"/>
        <v>-361492.25</v>
      </c>
      <c r="Q365" s="62">
        <f t="shared" si="41"/>
        <v>-0.96578212663638796</v>
      </c>
      <c r="S365" s="71">
        <v>98203</v>
      </c>
    </row>
    <row r="366" spans="1:19">
      <c r="A366" s="67">
        <v>326</v>
      </c>
      <c r="B366" s="74" t="s">
        <v>302</v>
      </c>
      <c r="C366" s="71">
        <v>374300</v>
      </c>
      <c r="D366" s="125" t="s">
        <v>365</v>
      </c>
      <c r="G366" s="61">
        <v>17077</v>
      </c>
      <c r="H366" s="61">
        <f t="shared" si="36"/>
        <v>-357223</v>
      </c>
      <c r="I366" s="62">
        <f t="shared" si="37"/>
        <v>-0.95437616884851728</v>
      </c>
      <c r="K366" s="61">
        <v>13661.6</v>
      </c>
      <c r="L366" s="61">
        <f t="shared" si="38"/>
        <v>-360638.4</v>
      </c>
      <c r="M366" s="62">
        <f t="shared" si="39"/>
        <v>-0.96350093507881385</v>
      </c>
      <c r="O366" s="61">
        <v>12807.75</v>
      </c>
      <c r="P366" s="61">
        <f t="shared" si="40"/>
        <v>-361492.25</v>
      </c>
      <c r="Q366" s="62">
        <f t="shared" si="41"/>
        <v>-0.96578212663638796</v>
      </c>
      <c r="S366" s="71">
        <v>109114</v>
      </c>
    </row>
    <row r="367" spans="1:19">
      <c r="A367" s="67">
        <v>327</v>
      </c>
      <c r="B367" s="74" t="s">
        <v>303</v>
      </c>
      <c r="C367" s="71">
        <v>753550</v>
      </c>
      <c r="D367" s="125" t="s">
        <v>365</v>
      </c>
      <c r="G367" s="61">
        <v>31357</v>
      </c>
      <c r="H367" s="61">
        <f t="shared" si="36"/>
        <v>-722193</v>
      </c>
      <c r="I367" s="62">
        <f t="shared" si="37"/>
        <v>-0.9583876318757879</v>
      </c>
      <c r="K367" s="61">
        <v>25085.599999999999</v>
      </c>
      <c r="L367" s="61">
        <f t="shared" si="38"/>
        <v>-728464.4</v>
      </c>
      <c r="M367" s="62">
        <f t="shared" si="39"/>
        <v>-0.96671010550063041</v>
      </c>
      <c r="O367" s="61">
        <v>23517.75</v>
      </c>
      <c r="P367" s="61">
        <f t="shared" si="40"/>
        <v>-730032.25</v>
      </c>
      <c r="Q367" s="62">
        <f t="shared" si="41"/>
        <v>-0.96879072390684096</v>
      </c>
      <c r="S367" s="71">
        <v>48011</v>
      </c>
    </row>
    <row r="368" spans="1:19">
      <c r="A368" s="67">
        <v>328</v>
      </c>
      <c r="B368" s="74" t="s">
        <v>304</v>
      </c>
      <c r="C368" s="71">
        <v>753550</v>
      </c>
      <c r="D368" s="125" t="s">
        <v>365</v>
      </c>
      <c r="G368" s="61">
        <v>31357</v>
      </c>
      <c r="H368" s="61">
        <f t="shared" si="36"/>
        <v>-722193</v>
      </c>
      <c r="I368" s="62">
        <f t="shared" si="37"/>
        <v>-0.9583876318757879</v>
      </c>
      <c r="K368" s="61">
        <v>25085.599999999999</v>
      </c>
      <c r="L368" s="61">
        <f t="shared" si="38"/>
        <v>-728464.4</v>
      </c>
      <c r="M368" s="62">
        <f t="shared" si="39"/>
        <v>-0.96671010550063041</v>
      </c>
      <c r="O368" s="61">
        <v>23517.75</v>
      </c>
      <c r="P368" s="61">
        <f t="shared" si="40"/>
        <v>-730032.25</v>
      </c>
      <c r="Q368" s="62">
        <f t="shared" si="41"/>
        <v>-0.96879072390684096</v>
      </c>
      <c r="S368" s="71">
        <v>11001</v>
      </c>
    </row>
    <row r="369" spans="1:19">
      <c r="A369" s="67">
        <v>329</v>
      </c>
      <c r="B369" s="74" t="s">
        <v>305</v>
      </c>
      <c r="C369" s="71">
        <v>753550</v>
      </c>
      <c r="D369" s="125" t="s">
        <v>365</v>
      </c>
      <c r="G369" s="61">
        <v>31357</v>
      </c>
      <c r="H369" s="61">
        <f t="shared" si="36"/>
        <v>-722193</v>
      </c>
      <c r="I369" s="62">
        <f t="shared" si="37"/>
        <v>-0.9583876318757879</v>
      </c>
      <c r="K369" s="61">
        <v>25085.599999999999</v>
      </c>
      <c r="L369" s="61">
        <f t="shared" si="38"/>
        <v>-728464.4</v>
      </c>
      <c r="M369" s="62">
        <f t="shared" si="39"/>
        <v>-0.96671010550063041</v>
      </c>
      <c r="O369" s="61">
        <v>23517.75</v>
      </c>
      <c r="P369" s="61">
        <f t="shared" si="40"/>
        <v>-730032.25</v>
      </c>
      <c r="Q369" s="62">
        <f t="shared" si="41"/>
        <v>-0.96879072390684096</v>
      </c>
      <c r="S369" s="71">
        <v>14186</v>
      </c>
    </row>
    <row r="370" spans="1:19">
      <c r="A370" s="67">
        <v>330</v>
      </c>
      <c r="B370" s="74" t="s">
        <v>306</v>
      </c>
      <c r="C370" s="71">
        <v>1894480</v>
      </c>
      <c r="D370" s="125" t="s">
        <v>365</v>
      </c>
      <c r="G370" s="61">
        <v>90547</v>
      </c>
      <c r="H370" s="61">
        <f t="shared" si="36"/>
        <v>-1803933</v>
      </c>
      <c r="I370" s="62">
        <f t="shared" si="37"/>
        <v>-0.95220482665427986</v>
      </c>
      <c r="K370" s="61">
        <v>72437.600000000006</v>
      </c>
      <c r="L370" s="61">
        <f t="shared" si="38"/>
        <v>-1822042.4</v>
      </c>
      <c r="M370" s="62">
        <f t="shared" si="39"/>
        <v>-0.96176386132342384</v>
      </c>
      <c r="O370" s="61">
        <v>67910.25</v>
      </c>
      <c r="P370" s="61">
        <f t="shared" si="40"/>
        <v>-1826569.75</v>
      </c>
      <c r="Q370" s="62">
        <f t="shared" si="41"/>
        <v>-0.96415361999070981</v>
      </c>
      <c r="S370" s="71">
        <v>27280</v>
      </c>
    </row>
    <row r="371" spans="1:19">
      <c r="A371" s="67">
        <v>331</v>
      </c>
      <c r="B371" s="74" t="s">
        <v>307</v>
      </c>
      <c r="C371" s="71">
        <v>1894480</v>
      </c>
      <c r="D371" s="125" t="s">
        <v>365</v>
      </c>
      <c r="G371" s="61">
        <v>90547</v>
      </c>
      <c r="H371" s="61">
        <f t="shared" si="36"/>
        <v>-1803933</v>
      </c>
      <c r="I371" s="62">
        <f t="shared" si="37"/>
        <v>-0.95220482665427986</v>
      </c>
      <c r="K371" s="61">
        <v>72437.600000000006</v>
      </c>
      <c r="L371" s="61">
        <f t="shared" si="38"/>
        <v>-1822042.4</v>
      </c>
      <c r="M371" s="62">
        <f t="shared" si="39"/>
        <v>-0.96176386132342384</v>
      </c>
      <c r="O371" s="61">
        <v>67910.25</v>
      </c>
      <c r="P371" s="61">
        <f t="shared" si="40"/>
        <v>-1826569.75</v>
      </c>
      <c r="Q371" s="62">
        <f t="shared" si="41"/>
        <v>-0.96415361999070981</v>
      </c>
      <c r="S371" s="71">
        <v>10913</v>
      </c>
    </row>
    <row r="372" spans="1:19">
      <c r="A372" s="67">
        <v>332</v>
      </c>
      <c r="B372" s="74" t="s">
        <v>308</v>
      </c>
      <c r="C372" s="71">
        <v>1894480</v>
      </c>
      <c r="D372" s="125" t="s">
        <v>365</v>
      </c>
      <c r="G372" s="61">
        <v>90547</v>
      </c>
      <c r="H372" s="61">
        <f t="shared" si="36"/>
        <v>-1803933</v>
      </c>
      <c r="I372" s="62">
        <f t="shared" si="37"/>
        <v>-0.95220482665427986</v>
      </c>
      <c r="K372" s="61">
        <v>72437.600000000006</v>
      </c>
      <c r="L372" s="61">
        <f t="shared" si="38"/>
        <v>-1822042.4</v>
      </c>
      <c r="M372" s="62">
        <f t="shared" si="39"/>
        <v>-0.96176386132342384</v>
      </c>
      <c r="O372" s="61">
        <v>67910.25</v>
      </c>
      <c r="P372" s="61">
        <f t="shared" si="40"/>
        <v>-1826569.75</v>
      </c>
      <c r="Q372" s="62">
        <f t="shared" si="41"/>
        <v>-0.96415361999070981</v>
      </c>
      <c r="S372" s="71">
        <v>31644</v>
      </c>
    </row>
    <row r="373" spans="1:19">
      <c r="A373" s="67">
        <v>333</v>
      </c>
      <c r="B373" s="74" t="s">
        <v>309</v>
      </c>
      <c r="C373" s="71">
        <v>1428000</v>
      </c>
      <c r="D373" s="125" t="s">
        <v>365</v>
      </c>
      <c r="G373" s="61">
        <v>91163</v>
      </c>
      <c r="H373" s="61">
        <f t="shared" si="36"/>
        <v>-1336837</v>
      </c>
      <c r="I373" s="62">
        <f t="shared" si="37"/>
        <v>-0.93616036414565829</v>
      </c>
      <c r="K373" s="61">
        <v>72930.399999999994</v>
      </c>
      <c r="L373" s="61">
        <f t="shared" si="38"/>
        <v>-1355069.6</v>
      </c>
      <c r="M373" s="62">
        <f t="shared" si="39"/>
        <v>-0.94892829131652667</v>
      </c>
      <c r="O373" s="61">
        <v>68372.25</v>
      </c>
      <c r="P373" s="61">
        <f t="shared" si="40"/>
        <v>-1359627.75</v>
      </c>
      <c r="Q373" s="62">
        <f t="shared" si="41"/>
        <v>-0.95212027310924374</v>
      </c>
      <c r="S373" s="71">
        <v>15583</v>
      </c>
    </row>
    <row r="374" spans="1:19">
      <c r="A374" s="67">
        <v>334</v>
      </c>
      <c r="B374" s="74" t="s">
        <v>310</v>
      </c>
      <c r="C374" s="71">
        <v>1672045</v>
      </c>
      <c r="D374" s="125" t="s">
        <v>365</v>
      </c>
      <c r="G374" s="61">
        <v>91163</v>
      </c>
      <c r="H374" s="61">
        <f t="shared" ref="H374:H437" si="42">+G374-C374</f>
        <v>-1580882</v>
      </c>
      <c r="I374" s="62">
        <f t="shared" ref="I374:I437" si="43">H374/C374</f>
        <v>-0.94547814203565095</v>
      </c>
      <c r="K374" s="61">
        <v>72930.399999999994</v>
      </c>
      <c r="L374" s="61">
        <f t="shared" ref="L374:L437" si="44">+K374-C374</f>
        <v>-1599114.6</v>
      </c>
      <c r="M374" s="62">
        <f t="shared" ref="M374:M437" si="45">L374/C374</f>
        <v>-0.95638251362852078</v>
      </c>
      <c r="O374" s="61">
        <v>68372.25</v>
      </c>
      <c r="P374" s="61">
        <f t="shared" si="40"/>
        <v>-1603672.75</v>
      </c>
      <c r="Q374" s="62">
        <f t="shared" si="41"/>
        <v>-0.95910860652673824</v>
      </c>
    </row>
    <row r="375" spans="1:19">
      <c r="A375" s="67">
        <v>335</v>
      </c>
      <c r="B375" s="74" t="s">
        <v>311</v>
      </c>
      <c r="C375" s="71">
        <v>362100</v>
      </c>
      <c r="D375" s="125" t="s">
        <v>365</v>
      </c>
      <c r="G375" s="61">
        <v>13434</v>
      </c>
      <c r="H375" s="61">
        <f t="shared" si="42"/>
        <v>-348666</v>
      </c>
      <c r="I375" s="62">
        <f t="shared" si="43"/>
        <v>-0.96289975144987572</v>
      </c>
      <c r="K375" s="61">
        <v>10747.2</v>
      </c>
      <c r="L375" s="61">
        <f t="shared" si="44"/>
        <v>-351352.8</v>
      </c>
      <c r="M375" s="62">
        <f t="shared" si="45"/>
        <v>-0.97031980115990057</v>
      </c>
      <c r="O375" s="61">
        <v>10075.5</v>
      </c>
      <c r="P375" s="61">
        <f t="shared" si="40"/>
        <v>-352024.5</v>
      </c>
      <c r="Q375" s="62">
        <f t="shared" si="41"/>
        <v>-0.97217481358740676</v>
      </c>
    </row>
    <row r="376" spans="1:19">
      <c r="A376" s="67">
        <v>336</v>
      </c>
      <c r="B376" s="74" t="s">
        <v>312</v>
      </c>
      <c r="C376" s="71">
        <v>391600</v>
      </c>
      <c r="D376" s="125" t="s">
        <v>365</v>
      </c>
      <c r="G376" s="61">
        <v>14611</v>
      </c>
      <c r="H376" s="61">
        <f t="shared" si="42"/>
        <v>-376989</v>
      </c>
      <c r="I376" s="62">
        <f t="shared" si="43"/>
        <v>-0.9626889683350357</v>
      </c>
      <c r="K376" s="61">
        <v>11688.8</v>
      </c>
      <c r="L376" s="61">
        <f t="shared" si="44"/>
        <v>-379911.2</v>
      </c>
      <c r="M376" s="62">
        <f t="shared" si="45"/>
        <v>-0.97015117466802858</v>
      </c>
      <c r="O376" s="61">
        <v>10958.25</v>
      </c>
      <c r="P376" s="61">
        <f t="shared" ref="P376:P439" si="46">+O376-C376</f>
        <v>-380641.75</v>
      </c>
      <c r="Q376" s="62">
        <f t="shared" ref="Q376:Q439" si="47">+P376/C376</f>
        <v>-0.97201672625127677</v>
      </c>
    </row>
    <row r="377" spans="1:19">
      <c r="A377" s="67">
        <v>337</v>
      </c>
      <c r="B377" s="74" t="s">
        <v>313</v>
      </c>
      <c r="C377" s="71">
        <v>474000</v>
      </c>
      <c r="D377" s="125" t="s">
        <v>365</v>
      </c>
      <c r="G377" s="61">
        <v>16284</v>
      </c>
      <c r="H377" s="61">
        <f t="shared" si="42"/>
        <v>-457716</v>
      </c>
      <c r="I377" s="62">
        <f t="shared" si="43"/>
        <v>-0.96564556962025316</v>
      </c>
      <c r="K377" s="61">
        <v>13027.2</v>
      </c>
      <c r="L377" s="61">
        <f t="shared" si="44"/>
        <v>-460972.79999999999</v>
      </c>
      <c r="M377" s="62">
        <f t="shared" si="45"/>
        <v>-0.97251645569620249</v>
      </c>
      <c r="O377" s="61">
        <v>12213</v>
      </c>
      <c r="P377" s="61">
        <f t="shared" si="46"/>
        <v>-461787</v>
      </c>
      <c r="Q377" s="62">
        <f t="shared" si="47"/>
        <v>-0.9742341772151899</v>
      </c>
    </row>
    <row r="378" spans="1:19">
      <c r="A378" s="67">
        <v>338</v>
      </c>
      <c r="B378" s="74" t="s">
        <v>314</v>
      </c>
      <c r="C378" s="71">
        <v>461500</v>
      </c>
      <c r="D378" s="125" t="s">
        <v>365</v>
      </c>
      <c r="G378" s="61">
        <v>17070</v>
      </c>
      <c r="H378" s="61">
        <f t="shared" si="42"/>
        <v>-444430</v>
      </c>
      <c r="I378" s="62">
        <f t="shared" si="43"/>
        <v>-0.96301191765980498</v>
      </c>
      <c r="K378" s="61">
        <v>13656</v>
      </c>
      <c r="L378" s="61">
        <f t="shared" si="44"/>
        <v>-447844</v>
      </c>
      <c r="M378" s="62">
        <f t="shared" si="45"/>
        <v>-0.97040953412784403</v>
      </c>
      <c r="O378" s="61">
        <v>12802.5</v>
      </c>
      <c r="P378" s="61">
        <f t="shared" si="46"/>
        <v>-448697.5</v>
      </c>
      <c r="Q378" s="62">
        <f t="shared" si="47"/>
        <v>-0.97225893824485377</v>
      </c>
    </row>
    <row r="379" spans="1:19">
      <c r="A379" s="67">
        <v>339</v>
      </c>
      <c r="B379" s="74" t="s">
        <v>315</v>
      </c>
      <c r="C379" s="71">
        <v>683000</v>
      </c>
      <c r="D379" s="125" t="s">
        <v>365</v>
      </c>
      <c r="G379" s="61">
        <v>16141</v>
      </c>
      <c r="H379" s="61">
        <f t="shared" si="42"/>
        <v>-666859</v>
      </c>
      <c r="I379" s="62">
        <f t="shared" si="43"/>
        <v>-0.9763674963396779</v>
      </c>
      <c r="K379" s="61">
        <v>12912.8</v>
      </c>
      <c r="L379" s="61">
        <f t="shared" si="44"/>
        <v>-670087.19999999995</v>
      </c>
      <c r="M379" s="62">
        <f t="shared" si="45"/>
        <v>-0.98109399707174227</v>
      </c>
      <c r="O379" s="61">
        <v>12105.75</v>
      </c>
      <c r="P379" s="61">
        <f t="shared" si="46"/>
        <v>-670894.25</v>
      </c>
      <c r="Q379" s="62">
        <f t="shared" si="47"/>
        <v>-0.9822756222547584</v>
      </c>
    </row>
    <row r="380" spans="1:19">
      <c r="A380" s="67">
        <v>340</v>
      </c>
      <c r="B380" s="74" t="s">
        <v>316</v>
      </c>
      <c r="C380" s="71">
        <v>949690</v>
      </c>
      <c r="D380" s="125" t="s">
        <v>365</v>
      </c>
      <c r="G380" s="61">
        <v>33204</v>
      </c>
      <c r="H380" s="61">
        <f t="shared" si="42"/>
        <v>-916486</v>
      </c>
      <c r="I380" s="62">
        <f t="shared" si="43"/>
        <v>-0.96503701207762538</v>
      </c>
      <c r="K380" s="61">
        <v>26563.200000000001</v>
      </c>
      <c r="L380" s="61">
        <f t="shared" si="44"/>
        <v>-923126.8</v>
      </c>
      <c r="M380" s="62">
        <f t="shared" si="45"/>
        <v>-0.97202960966210028</v>
      </c>
      <c r="O380" s="61">
        <v>24903</v>
      </c>
      <c r="P380" s="61">
        <f t="shared" si="46"/>
        <v>-924787</v>
      </c>
      <c r="Q380" s="62">
        <f t="shared" si="47"/>
        <v>-0.97377775905821895</v>
      </c>
    </row>
    <row r="381" spans="1:19">
      <c r="A381" s="67">
        <v>341</v>
      </c>
      <c r="B381" s="74" t="s">
        <v>317</v>
      </c>
      <c r="C381" s="71">
        <v>20415</v>
      </c>
      <c r="D381" s="125" t="s">
        <v>365</v>
      </c>
      <c r="G381" s="61">
        <v>953</v>
      </c>
      <c r="H381" s="61">
        <f t="shared" si="42"/>
        <v>-19462</v>
      </c>
      <c r="I381" s="62">
        <f t="shared" si="43"/>
        <v>-0.95331863825618413</v>
      </c>
      <c r="K381" s="61">
        <v>762.4</v>
      </c>
      <c r="L381" s="61">
        <f t="shared" si="44"/>
        <v>-19652.599999999999</v>
      </c>
      <c r="M381" s="62">
        <f t="shared" si="45"/>
        <v>-0.96265491060494723</v>
      </c>
      <c r="O381" s="61">
        <v>714.75</v>
      </c>
      <c r="P381" s="61">
        <f t="shared" si="46"/>
        <v>-19700.25</v>
      </c>
      <c r="Q381" s="62">
        <f t="shared" si="47"/>
        <v>-0.96498897869213818</v>
      </c>
    </row>
    <row r="382" spans="1:19">
      <c r="A382" s="67">
        <v>342</v>
      </c>
      <c r="B382" s="74" t="s">
        <v>318</v>
      </c>
      <c r="C382" s="71">
        <v>37520</v>
      </c>
      <c r="D382" s="125" t="s">
        <v>365</v>
      </c>
      <c r="G382" s="61">
        <v>848</v>
      </c>
      <c r="H382" s="61">
        <f t="shared" si="42"/>
        <v>-36672</v>
      </c>
      <c r="I382" s="62">
        <f t="shared" si="43"/>
        <v>-0.97739872068230282</v>
      </c>
      <c r="K382" s="61">
        <v>678.4</v>
      </c>
      <c r="L382" s="61">
        <f t="shared" si="44"/>
        <v>-36841.599999999999</v>
      </c>
      <c r="M382" s="62">
        <f t="shared" si="45"/>
        <v>-0.98191897654584215</v>
      </c>
      <c r="O382" s="61">
        <v>636</v>
      </c>
      <c r="P382" s="61">
        <f t="shared" si="46"/>
        <v>-36884</v>
      </c>
      <c r="Q382" s="62">
        <f t="shared" si="47"/>
        <v>-0.98304904051172703</v>
      </c>
    </row>
    <row r="383" spans="1:19">
      <c r="A383" s="67">
        <v>343</v>
      </c>
      <c r="B383" s="74" t="s">
        <v>319</v>
      </c>
      <c r="C383" s="71">
        <v>47600</v>
      </c>
      <c r="D383" s="125" t="s">
        <v>365</v>
      </c>
      <c r="G383" s="61">
        <v>551</v>
      </c>
      <c r="H383" s="61">
        <f t="shared" si="42"/>
        <v>-47049</v>
      </c>
      <c r="I383" s="62">
        <f t="shared" si="43"/>
        <v>-0.98842436974789916</v>
      </c>
      <c r="K383" s="61">
        <v>440.8</v>
      </c>
      <c r="L383" s="61">
        <f t="shared" si="44"/>
        <v>-47159.199999999997</v>
      </c>
      <c r="M383" s="62">
        <f t="shared" si="45"/>
        <v>-0.99073949579831921</v>
      </c>
      <c r="O383" s="61">
        <v>413.25</v>
      </c>
      <c r="P383" s="61">
        <f t="shared" si="46"/>
        <v>-47186.75</v>
      </c>
      <c r="Q383" s="62">
        <f t="shared" si="47"/>
        <v>-0.99131827731092437</v>
      </c>
    </row>
    <row r="384" spans="1:19">
      <c r="A384" s="67">
        <v>344</v>
      </c>
      <c r="B384" s="74" t="s">
        <v>320</v>
      </c>
      <c r="C384" s="71">
        <v>24390</v>
      </c>
      <c r="D384" s="125" t="s">
        <v>365</v>
      </c>
      <c r="G384" s="61">
        <v>716</v>
      </c>
      <c r="H384" s="61">
        <f t="shared" si="42"/>
        <v>-23674</v>
      </c>
      <c r="I384" s="62">
        <f t="shared" si="43"/>
        <v>-0.97064370643706432</v>
      </c>
      <c r="K384" s="61">
        <v>572.79999999999995</v>
      </c>
      <c r="L384" s="61">
        <f t="shared" si="44"/>
        <v>-23817.200000000001</v>
      </c>
      <c r="M384" s="62">
        <f t="shared" si="45"/>
        <v>-0.97651496514965153</v>
      </c>
      <c r="O384" s="61">
        <v>537</v>
      </c>
      <c r="P384" s="61">
        <f t="shared" si="46"/>
        <v>-23853</v>
      </c>
      <c r="Q384" s="62">
        <f t="shared" si="47"/>
        <v>-0.97798277982779824</v>
      </c>
    </row>
    <row r="385" spans="1:17">
      <c r="A385" s="67">
        <v>345</v>
      </c>
      <c r="B385" s="74" t="s">
        <v>321</v>
      </c>
      <c r="C385" s="71">
        <v>56225</v>
      </c>
      <c r="D385" s="125" t="s">
        <v>365</v>
      </c>
      <c r="G385" s="61">
        <v>905</v>
      </c>
      <c r="H385" s="61">
        <f t="shared" si="42"/>
        <v>-55320</v>
      </c>
      <c r="I385" s="62">
        <f t="shared" si="43"/>
        <v>-0.98390395731436198</v>
      </c>
      <c r="K385" s="61">
        <v>724</v>
      </c>
      <c r="L385" s="61">
        <f t="shared" si="44"/>
        <v>-55501</v>
      </c>
      <c r="M385" s="62">
        <f t="shared" si="45"/>
        <v>-0.98712316585148951</v>
      </c>
      <c r="O385" s="61">
        <v>678.75</v>
      </c>
      <c r="P385" s="61">
        <f t="shared" si="46"/>
        <v>-55546.25</v>
      </c>
      <c r="Q385" s="62">
        <f t="shared" si="47"/>
        <v>-0.98792796798577143</v>
      </c>
    </row>
    <row r="386" spans="1:17">
      <c r="A386" s="67">
        <v>346</v>
      </c>
      <c r="B386" s="74" t="s">
        <v>322</v>
      </c>
      <c r="C386" s="71">
        <v>79075</v>
      </c>
      <c r="D386" s="125" t="s">
        <v>365</v>
      </c>
      <c r="G386" s="61">
        <v>1389</v>
      </c>
      <c r="H386" s="61">
        <f t="shared" si="42"/>
        <v>-77686</v>
      </c>
      <c r="I386" s="62">
        <f t="shared" si="43"/>
        <v>-0.98243439772368002</v>
      </c>
      <c r="K386" s="61">
        <v>1111.2</v>
      </c>
      <c r="L386" s="61">
        <f t="shared" si="44"/>
        <v>-77963.8</v>
      </c>
      <c r="M386" s="62">
        <f t="shared" si="45"/>
        <v>-0.9859475181789441</v>
      </c>
      <c r="O386" s="61">
        <v>1041.75</v>
      </c>
      <c r="P386" s="61">
        <f t="shared" si="46"/>
        <v>-78033.25</v>
      </c>
      <c r="Q386" s="62">
        <f t="shared" si="47"/>
        <v>-0.98682579829276007</v>
      </c>
    </row>
    <row r="387" spans="1:17">
      <c r="A387" s="67">
        <v>347</v>
      </c>
      <c r="B387" s="74" t="s">
        <v>323</v>
      </c>
      <c r="C387" s="71">
        <v>22134</v>
      </c>
      <c r="D387" s="125" t="s">
        <v>365</v>
      </c>
      <c r="G387" s="61">
        <v>980</v>
      </c>
      <c r="H387" s="61">
        <f t="shared" si="42"/>
        <v>-21154</v>
      </c>
      <c r="I387" s="62">
        <f t="shared" si="43"/>
        <v>-0.95572422517394051</v>
      </c>
      <c r="K387" s="61">
        <v>784</v>
      </c>
      <c r="L387" s="61">
        <f t="shared" si="44"/>
        <v>-21350</v>
      </c>
      <c r="M387" s="62">
        <f t="shared" si="45"/>
        <v>-0.96457938013915245</v>
      </c>
      <c r="O387" s="61">
        <v>735</v>
      </c>
      <c r="P387" s="61">
        <f t="shared" si="46"/>
        <v>-21399</v>
      </c>
      <c r="Q387" s="62">
        <f t="shared" si="47"/>
        <v>-0.96679316888045541</v>
      </c>
    </row>
    <row r="388" spans="1:17">
      <c r="A388" s="67">
        <v>348</v>
      </c>
      <c r="B388" s="74" t="s">
        <v>324</v>
      </c>
      <c r="C388" s="71">
        <v>22134</v>
      </c>
      <c r="D388" s="125" t="s">
        <v>365</v>
      </c>
      <c r="G388" s="61">
        <v>980</v>
      </c>
      <c r="H388" s="61">
        <f t="shared" si="42"/>
        <v>-21154</v>
      </c>
      <c r="I388" s="62">
        <f t="shared" si="43"/>
        <v>-0.95572422517394051</v>
      </c>
      <c r="K388" s="61">
        <v>784</v>
      </c>
      <c r="L388" s="61">
        <f t="shared" si="44"/>
        <v>-21350</v>
      </c>
      <c r="M388" s="62">
        <f t="shared" si="45"/>
        <v>-0.96457938013915245</v>
      </c>
      <c r="O388" s="61">
        <v>735</v>
      </c>
      <c r="P388" s="61">
        <f t="shared" si="46"/>
        <v>-21399</v>
      </c>
      <c r="Q388" s="62">
        <f t="shared" si="47"/>
        <v>-0.96679316888045541</v>
      </c>
    </row>
    <row r="389" spans="1:17">
      <c r="A389" s="67">
        <v>349</v>
      </c>
      <c r="B389" s="74" t="s">
        <v>325</v>
      </c>
      <c r="C389" s="71">
        <v>22134</v>
      </c>
      <c r="D389" s="125" t="s">
        <v>365</v>
      </c>
      <c r="G389" s="61">
        <v>980</v>
      </c>
      <c r="H389" s="61">
        <f t="shared" si="42"/>
        <v>-21154</v>
      </c>
      <c r="I389" s="62">
        <f t="shared" si="43"/>
        <v>-0.95572422517394051</v>
      </c>
      <c r="K389" s="61">
        <v>784</v>
      </c>
      <c r="L389" s="61">
        <f t="shared" si="44"/>
        <v>-21350</v>
      </c>
      <c r="M389" s="62">
        <f t="shared" si="45"/>
        <v>-0.96457938013915245</v>
      </c>
      <c r="O389" s="61">
        <v>735</v>
      </c>
      <c r="P389" s="61">
        <f t="shared" si="46"/>
        <v>-21399</v>
      </c>
      <c r="Q389" s="62">
        <f t="shared" si="47"/>
        <v>-0.96679316888045541</v>
      </c>
    </row>
    <row r="390" spans="1:17">
      <c r="A390" s="67">
        <v>350</v>
      </c>
      <c r="B390" s="74" t="s">
        <v>326</v>
      </c>
      <c r="C390" s="71">
        <v>43150</v>
      </c>
      <c r="D390" s="125" t="s">
        <v>365</v>
      </c>
      <c r="G390" s="61">
        <v>1437</v>
      </c>
      <c r="H390" s="61">
        <f t="shared" si="42"/>
        <v>-41713</v>
      </c>
      <c r="I390" s="62">
        <f t="shared" si="43"/>
        <v>-0.96669756662804174</v>
      </c>
      <c r="K390" s="61">
        <v>1149.5999999999999</v>
      </c>
      <c r="L390" s="61">
        <f t="shared" si="44"/>
        <v>-42000.4</v>
      </c>
      <c r="M390" s="62">
        <f t="shared" si="45"/>
        <v>-0.97335805330243341</v>
      </c>
      <c r="O390" s="61">
        <v>1077.75</v>
      </c>
      <c r="P390" s="61">
        <f t="shared" si="46"/>
        <v>-42072.25</v>
      </c>
      <c r="Q390" s="62">
        <f t="shared" si="47"/>
        <v>-0.9750231749710313</v>
      </c>
    </row>
    <row r="391" spans="1:17">
      <c r="A391" s="67">
        <v>351</v>
      </c>
      <c r="B391" s="74" t="s">
        <v>327</v>
      </c>
      <c r="C391" s="71">
        <v>117810</v>
      </c>
      <c r="D391" s="125" t="s">
        <v>365</v>
      </c>
      <c r="G391" s="61">
        <v>4312</v>
      </c>
      <c r="H391" s="61">
        <f t="shared" si="42"/>
        <v>-113498</v>
      </c>
      <c r="I391" s="62">
        <f t="shared" si="43"/>
        <v>-0.96339869281045754</v>
      </c>
      <c r="K391" s="61">
        <v>3449.6</v>
      </c>
      <c r="L391" s="61">
        <f t="shared" si="44"/>
        <v>-114360.4</v>
      </c>
      <c r="M391" s="62">
        <f t="shared" si="45"/>
        <v>-0.97071895424836596</v>
      </c>
      <c r="O391" s="61">
        <v>3234</v>
      </c>
      <c r="P391" s="61">
        <f t="shared" si="46"/>
        <v>-114576</v>
      </c>
      <c r="Q391" s="62">
        <f t="shared" si="47"/>
        <v>-0.97254901960784312</v>
      </c>
    </row>
    <row r="392" spans="1:17">
      <c r="A392" s="67">
        <v>352</v>
      </c>
      <c r="B392" s="74" t="s">
        <v>328</v>
      </c>
      <c r="C392" s="71">
        <v>222429</v>
      </c>
      <c r="D392" s="125" t="s">
        <v>365</v>
      </c>
      <c r="G392" s="61">
        <v>15038</v>
      </c>
      <c r="H392" s="61">
        <f t="shared" si="42"/>
        <v>-207391</v>
      </c>
      <c r="I392" s="62">
        <f t="shared" si="43"/>
        <v>-0.93239190932836991</v>
      </c>
      <c r="K392" s="61">
        <v>12030.4</v>
      </c>
      <c r="L392" s="61">
        <f t="shared" si="44"/>
        <v>-210398.6</v>
      </c>
      <c r="M392" s="62">
        <f t="shared" si="45"/>
        <v>-0.94591352746269597</v>
      </c>
      <c r="O392" s="61">
        <v>11278.5</v>
      </c>
      <c r="P392" s="61">
        <f t="shared" si="46"/>
        <v>-211150.5</v>
      </c>
      <c r="Q392" s="62">
        <f t="shared" si="47"/>
        <v>-0.94929393199627743</v>
      </c>
    </row>
    <row r="393" spans="1:17">
      <c r="A393" s="67">
        <v>353</v>
      </c>
      <c r="B393" s="74" t="s">
        <v>329</v>
      </c>
      <c r="C393" s="71">
        <v>117810</v>
      </c>
      <c r="D393" s="125" t="s">
        <v>365</v>
      </c>
      <c r="G393" s="61">
        <v>1413</v>
      </c>
      <c r="H393" s="61">
        <f t="shared" si="42"/>
        <v>-116397</v>
      </c>
      <c r="I393" s="62">
        <f t="shared" si="43"/>
        <v>-0.98800611153552331</v>
      </c>
      <c r="K393" s="61">
        <v>1130.4000000000001</v>
      </c>
      <c r="L393" s="61">
        <f t="shared" si="44"/>
        <v>-116679.6</v>
      </c>
      <c r="M393" s="62">
        <f t="shared" si="45"/>
        <v>-0.99040488922841874</v>
      </c>
      <c r="O393" s="61">
        <v>1059.75</v>
      </c>
      <c r="P393" s="61">
        <f t="shared" si="46"/>
        <v>-116750.25</v>
      </c>
      <c r="Q393" s="62">
        <f t="shared" si="47"/>
        <v>-0.99100458365164246</v>
      </c>
    </row>
    <row r="394" spans="1:17">
      <c r="A394" s="67">
        <v>354</v>
      </c>
      <c r="B394" s="74" t="s">
        <v>330</v>
      </c>
      <c r="C394" s="71">
        <v>139990</v>
      </c>
      <c r="D394" s="125" t="s">
        <v>365</v>
      </c>
      <c r="G394" s="61">
        <v>3785</v>
      </c>
      <c r="H394" s="61">
        <f t="shared" si="42"/>
        <v>-136205</v>
      </c>
      <c r="I394" s="62">
        <f t="shared" si="43"/>
        <v>-0.97296235445388957</v>
      </c>
      <c r="K394" s="61">
        <v>3028</v>
      </c>
      <c r="L394" s="61">
        <f t="shared" si="44"/>
        <v>-136962</v>
      </c>
      <c r="M394" s="62">
        <f t="shared" si="45"/>
        <v>-0.97836988356311161</v>
      </c>
      <c r="O394" s="61">
        <v>2838.75</v>
      </c>
      <c r="P394" s="61">
        <f t="shared" si="46"/>
        <v>-137151.25</v>
      </c>
      <c r="Q394" s="62">
        <f t="shared" si="47"/>
        <v>-0.97972176584041715</v>
      </c>
    </row>
    <row r="395" spans="1:17">
      <c r="A395" s="67">
        <v>355</v>
      </c>
      <c r="B395" s="74" t="s">
        <v>331</v>
      </c>
      <c r="C395" s="71">
        <v>26140</v>
      </c>
      <c r="D395" s="125" t="s">
        <v>365</v>
      </c>
      <c r="G395" s="61">
        <v>1006</v>
      </c>
      <c r="H395" s="61">
        <f t="shared" si="42"/>
        <v>-25134</v>
      </c>
      <c r="I395" s="62">
        <f t="shared" si="43"/>
        <v>-0.96151491966335123</v>
      </c>
      <c r="K395" s="61">
        <v>804.8</v>
      </c>
      <c r="L395" s="61">
        <f t="shared" si="44"/>
        <v>-25335.200000000001</v>
      </c>
      <c r="M395" s="62">
        <f t="shared" si="45"/>
        <v>-0.96921193573068098</v>
      </c>
      <c r="O395" s="61">
        <v>754.5</v>
      </c>
      <c r="P395" s="61">
        <f t="shared" si="46"/>
        <v>-25385.5</v>
      </c>
      <c r="Q395" s="62">
        <f t="shared" si="47"/>
        <v>-0.97113618974751337</v>
      </c>
    </row>
    <row r="396" spans="1:17">
      <c r="A396" s="67">
        <v>356</v>
      </c>
      <c r="B396" s="74" t="s">
        <v>332</v>
      </c>
      <c r="C396" s="71">
        <v>103375</v>
      </c>
      <c r="D396" s="125" t="s">
        <v>365</v>
      </c>
      <c r="G396" s="61">
        <v>3809</v>
      </c>
      <c r="H396" s="61">
        <f t="shared" si="42"/>
        <v>-99566</v>
      </c>
      <c r="I396" s="62">
        <f t="shared" si="43"/>
        <v>-0.9631535671100363</v>
      </c>
      <c r="K396" s="61">
        <v>3047.2</v>
      </c>
      <c r="L396" s="61">
        <f t="shared" si="44"/>
        <v>-100327.8</v>
      </c>
      <c r="M396" s="62">
        <f t="shared" si="45"/>
        <v>-0.97052285368802904</v>
      </c>
      <c r="O396" s="61">
        <v>2856.75</v>
      </c>
      <c r="P396" s="61">
        <f t="shared" si="46"/>
        <v>-100518.25</v>
      </c>
      <c r="Q396" s="62">
        <f t="shared" si="47"/>
        <v>-0.9723651753325272</v>
      </c>
    </row>
    <row r="397" spans="1:17">
      <c r="A397" s="67">
        <v>357</v>
      </c>
      <c r="B397" s="74" t="s">
        <v>333</v>
      </c>
      <c r="C397" s="71">
        <v>87394</v>
      </c>
      <c r="D397" s="125" t="s">
        <v>365</v>
      </c>
      <c r="G397" s="61">
        <v>2587</v>
      </c>
      <c r="H397" s="61">
        <f t="shared" si="42"/>
        <v>-84807</v>
      </c>
      <c r="I397" s="62">
        <f t="shared" si="43"/>
        <v>-0.97039842552120281</v>
      </c>
      <c r="K397" s="61">
        <v>2069.6</v>
      </c>
      <c r="L397" s="61">
        <f t="shared" si="44"/>
        <v>-85324.4</v>
      </c>
      <c r="M397" s="62">
        <f t="shared" si="45"/>
        <v>-0.97631874041696221</v>
      </c>
      <c r="O397" s="61">
        <v>1940.25</v>
      </c>
      <c r="P397" s="61">
        <f t="shared" si="46"/>
        <v>-85453.75</v>
      </c>
      <c r="Q397" s="62">
        <f t="shared" si="47"/>
        <v>-0.97779881914090216</v>
      </c>
    </row>
    <row r="398" spans="1:17">
      <c r="A398" s="67">
        <v>358</v>
      </c>
      <c r="B398" s="74" t="s">
        <v>334</v>
      </c>
      <c r="C398" s="71">
        <v>132899.99729999999</v>
      </c>
      <c r="D398" s="125" t="s">
        <v>365</v>
      </c>
      <c r="G398" s="61">
        <v>17913</v>
      </c>
      <c r="H398" s="61">
        <f t="shared" si="42"/>
        <v>-114986.99729999999</v>
      </c>
      <c r="I398" s="62">
        <f t="shared" si="43"/>
        <v>-0.86521444421428895</v>
      </c>
      <c r="K398" s="61">
        <v>14330.4</v>
      </c>
      <c r="L398" s="61">
        <f t="shared" si="44"/>
        <v>-118569.59729999999</v>
      </c>
      <c r="M398" s="62">
        <f t="shared" si="45"/>
        <v>-0.89217155537143122</v>
      </c>
      <c r="O398" s="61">
        <v>13434.75</v>
      </c>
      <c r="P398" s="61">
        <f t="shared" si="46"/>
        <v>-119465.24729999999</v>
      </c>
      <c r="Q398" s="62">
        <f t="shared" si="47"/>
        <v>-0.89891083316071674</v>
      </c>
    </row>
    <row r="399" spans="1:17">
      <c r="A399" s="67">
        <v>359</v>
      </c>
      <c r="B399" s="74" t="s">
        <v>335</v>
      </c>
      <c r="C399" s="71">
        <v>69389</v>
      </c>
      <c r="D399" s="125" t="s">
        <v>365</v>
      </c>
      <c r="G399" s="61">
        <v>1337</v>
      </c>
      <c r="H399" s="61">
        <f t="shared" si="42"/>
        <v>-68052</v>
      </c>
      <c r="I399" s="62">
        <f t="shared" si="43"/>
        <v>-0.98073181628211969</v>
      </c>
      <c r="K399" s="61">
        <v>1069.5999999999999</v>
      </c>
      <c r="L399" s="61">
        <f t="shared" si="44"/>
        <v>-68319.399999999994</v>
      </c>
      <c r="M399" s="62">
        <f t="shared" si="45"/>
        <v>-0.98458545302569567</v>
      </c>
      <c r="O399" s="61">
        <v>1002.75</v>
      </c>
      <c r="P399" s="61">
        <f t="shared" si="46"/>
        <v>-68386.25</v>
      </c>
      <c r="Q399" s="62">
        <f t="shared" si="47"/>
        <v>-0.98554886221158977</v>
      </c>
    </row>
    <row r="400" spans="1:17">
      <c r="A400" s="67">
        <v>360</v>
      </c>
      <c r="B400" s="74" t="s">
        <v>336</v>
      </c>
      <c r="C400" s="71">
        <v>97710</v>
      </c>
      <c r="D400" s="125" t="s">
        <v>365</v>
      </c>
      <c r="G400" s="61">
        <v>5505</v>
      </c>
      <c r="H400" s="61">
        <f t="shared" si="42"/>
        <v>-92205</v>
      </c>
      <c r="I400" s="62">
        <f t="shared" si="43"/>
        <v>-0.94365980964077367</v>
      </c>
      <c r="K400" s="61">
        <v>4404</v>
      </c>
      <c r="L400" s="61">
        <f t="shared" si="44"/>
        <v>-93306</v>
      </c>
      <c r="M400" s="62">
        <f t="shared" si="45"/>
        <v>-0.95492784771261896</v>
      </c>
      <c r="O400" s="61">
        <v>4128.75</v>
      </c>
      <c r="P400" s="61">
        <f t="shared" si="46"/>
        <v>-93581.25</v>
      </c>
      <c r="Q400" s="62">
        <f t="shared" si="47"/>
        <v>-0.95774485723058034</v>
      </c>
    </row>
    <row r="401" spans="1:17">
      <c r="A401" s="67">
        <v>361</v>
      </c>
      <c r="B401" s="74" t="s">
        <v>337</v>
      </c>
      <c r="C401" s="71">
        <v>974610</v>
      </c>
      <c r="D401" s="125" t="s">
        <v>365</v>
      </c>
      <c r="E401" s="50">
        <v>819000</v>
      </c>
      <c r="G401" s="61">
        <v>52653</v>
      </c>
      <c r="H401" s="61">
        <f t="shared" si="42"/>
        <v>-921957</v>
      </c>
      <c r="I401" s="62">
        <f t="shared" si="43"/>
        <v>-0.94597531320220396</v>
      </c>
      <c r="K401" s="61">
        <v>42122.400000000001</v>
      </c>
      <c r="L401" s="61">
        <f t="shared" si="44"/>
        <v>-932487.6</v>
      </c>
      <c r="M401" s="62">
        <f t="shared" si="45"/>
        <v>-0.95678025056176319</v>
      </c>
      <c r="O401" s="61">
        <v>39489.75</v>
      </c>
      <c r="P401" s="61">
        <f t="shared" si="46"/>
        <v>-935120.25</v>
      </c>
      <c r="Q401" s="62">
        <f t="shared" si="47"/>
        <v>-0.95948148490165297</v>
      </c>
    </row>
    <row r="402" spans="1:17">
      <c r="A402" s="67">
        <v>362</v>
      </c>
      <c r="B402" s="74" t="s">
        <v>338</v>
      </c>
      <c r="C402" s="71">
        <v>713952</v>
      </c>
      <c r="D402" s="125" t="s">
        <v>365</v>
      </c>
      <c r="E402" s="50">
        <v>599959</v>
      </c>
      <c r="G402" s="61">
        <v>38328</v>
      </c>
      <c r="H402" s="61">
        <f t="shared" si="42"/>
        <v>-675624</v>
      </c>
      <c r="I402" s="62">
        <f t="shared" si="43"/>
        <v>-0.9463157187037784</v>
      </c>
      <c r="K402" s="61">
        <v>30662.400000000001</v>
      </c>
      <c r="L402" s="61">
        <f t="shared" si="44"/>
        <v>-683289.59999999998</v>
      </c>
      <c r="M402" s="62">
        <f t="shared" si="45"/>
        <v>-0.95705257496302265</v>
      </c>
      <c r="O402" s="61">
        <v>28746</v>
      </c>
      <c r="P402" s="61">
        <f t="shared" si="46"/>
        <v>-685206</v>
      </c>
      <c r="Q402" s="62">
        <f t="shared" si="47"/>
        <v>-0.95973678902783377</v>
      </c>
    </row>
    <row r="403" spans="1:17">
      <c r="A403" s="67">
        <v>363</v>
      </c>
      <c r="B403" s="74" t="s">
        <v>339</v>
      </c>
      <c r="C403" s="71">
        <v>15870</v>
      </c>
      <c r="D403" s="125" t="s">
        <v>366</v>
      </c>
      <c r="G403" s="61">
        <v>16289</v>
      </c>
      <c r="H403" s="61">
        <f t="shared" si="42"/>
        <v>419</v>
      </c>
      <c r="I403" s="62">
        <f t="shared" si="43"/>
        <v>2.6402016383112792E-2</v>
      </c>
      <c r="K403" s="61">
        <v>13031.2</v>
      </c>
      <c r="L403" s="61">
        <f t="shared" si="44"/>
        <v>-2838.7999999999993</v>
      </c>
      <c r="M403" s="62">
        <f t="shared" si="45"/>
        <v>-0.17887838689350971</v>
      </c>
      <c r="O403" s="61">
        <v>12216.75</v>
      </c>
      <c r="P403" s="61">
        <f t="shared" si="46"/>
        <v>-3653.25</v>
      </c>
      <c r="Q403" s="62">
        <f t="shared" si="47"/>
        <v>-0.23019848771266541</v>
      </c>
    </row>
    <row r="404" spans="1:17">
      <c r="A404" s="67">
        <v>364</v>
      </c>
      <c r="B404" s="74" t="s">
        <v>339</v>
      </c>
      <c r="C404" s="71">
        <v>571200</v>
      </c>
      <c r="D404" s="125" t="s">
        <v>365</v>
      </c>
      <c r="E404" s="50">
        <v>535500</v>
      </c>
      <c r="G404" s="61">
        <v>16289</v>
      </c>
      <c r="H404" s="61">
        <f t="shared" si="42"/>
        <v>-554911</v>
      </c>
      <c r="I404" s="62">
        <f t="shared" si="43"/>
        <v>-0.97148284313725486</v>
      </c>
      <c r="K404" s="61">
        <v>13031.2</v>
      </c>
      <c r="L404" s="61">
        <f t="shared" si="44"/>
        <v>-558168.80000000005</v>
      </c>
      <c r="M404" s="62">
        <f t="shared" si="45"/>
        <v>-0.977186274509804</v>
      </c>
      <c r="O404" s="61">
        <v>12216.75</v>
      </c>
      <c r="P404" s="61">
        <f t="shared" si="46"/>
        <v>-558983.25</v>
      </c>
      <c r="Q404" s="62">
        <f t="shared" si="47"/>
        <v>-0.9786121323529412</v>
      </c>
    </row>
    <row r="405" spans="1:17">
      <c r="A405" s="67">
        <v>365</v>
      </c>
      <c r="B405" s="74" t="s">
        <v>340</v>
      </c>
      <c r="C405" s="71">
        <v>19170</v>
      </c>
      <c r="D405" s="125" t="s">
        <v>366</v>
      </c>
      <c r="G405" s="61">
        <v>19909</v>
      </c>
      <c r="H405" s="61">
        <f t="shared" si="42"/>
        <v>739</v>
      </c>
      <c r="I405" s="62">
        <f t="shared" si="43"/>
        <v>3.854981742305686E-2</v>
      </c>
      <c r="K405" s="61">
        <v>15927.2</v>
      </c>
      <c r="L405" s="61">
        <f t="shared" si="44"/>
        <v>-3242.7999999999993</v>
      </c>
      <c r="M405" s="62">
        <f t="shared" si="45"/>
        <v>-0.16916014606155447</v>
      </c>
      <c r="O405" s="61">
        <v>14931.75</v>
      </c>
      <c r="P405" s="61">
        <f t="shared" si="46"/>
        <v>-4238.25</v>
      </c>
      <c r="Q405" s="62">
        <f t="shared" si="47"/>
        <v>-0.22108763693270736</v>
      </c>
    </row>
    <row r="406" spans="1:17">
      <c r="A406" s="67">
        <v>366</v>
      </c>
      <c r="B406" s="74" t="s">
        <v>340</v>
      </c>
      <c r="C406" s="71">
        <v>690200</v>
      </c>
      <c r="D406" s="125" t="s">
        <v>365</v>
      </c>
      <c r="E406" s="50">
        <v>644579</v>
      </c>
      <c r="G406" s="61">
        <v>19909</v>
      </c>
      <c r="H406" s="61">
        <f t="shared" si="42"/>
        <v>-670291</v>
      </c>
      <c r="I406" s="62">
        <f t="shared" si="43"/>
        <v>-0.97115473775717187</v>
      </c>
      <c r="K406" s="61">
        <v>15927.2</v>
      </c>
      <c r="L406" s="61">
        <f t="shared" si="44"/>
        <v>-674272.8</v>
      </c>
      <c r="M406" s="62">
        <f t="shared" si="45"/>
        <v>-0.9769237902057375</v>
      </c>
      <c r="O406" s="61">
        <v>14931.75</v>
      </c>
      <c r="P406" s="61">
        <f t="shared" si="46"/>
        <v>-675268.25</v>
      </c>
      <c r="Q406" s="62">
        <f t="shared" si="47"/>
        <v>-0.97836605331787885</v>
      </c>
    </row>
    <row r="407" spans="1:17">
      <c r="A407" s="67">
        <v>367</v>
      </c>
      <c r="B407" s="74" t="s">
        <v>341</v>
      </c>
      <c r="C407" s="71">
        <v>22480</v>
      </c>
      <c r="D407" s="125" t="s">
        <v>366</v>
      </c>
      <c r="G407" s="61">
        <v>23755</v>
      </c>
      <c r="H407" s="61">
        <f t="shared" si="42"/>
        <v>1275</v>
      </c>
      <c r="I407" s="62">
        <f t="shared" si="43"/>
        <v>5.6717081850533806E-2</v>
      </c>
      <c r="K407" s="61">
        <v>19004</v>
      </c>
      <c r="L407" s="61">
        <f t="shared" si="44"/>
        <v>-3476</v>
      </c>
      <c r="M407" s="62">
        <f t="shared" si="45"/>
        <v>-0.15462633451957294</v>
      </c>
      <c r="O407" s="61">
        <v>17816.25</v>
      </c>
      <c r="P407" s="61">
        <f t="shared" si="46"/>
        <v>-4663.75</v>
      </c>
      <c r="Q407" s="62">
        <f t="shared" si="47"/>
        <v>-0.20746218861209964</v>
      </c>
    </row>
    <row r="408" spans="1:17">
      <c r="A408" s="67">
        <v>368</v>
      </c>
      <c r="B408" s="74" t="s">
        <v>341</v>
      </c>
      <c r="C408" s="71">
        <v>809200</v>
      </c>
      <c r="D408" s="125" t="s">
        <v>365</v>
      </c>
      <c r="E408" s="50">
        <v>684250</v>
      </c>
      <c r="G408" s="61">
        <v>23981</v>
      </c>
      <c r="H408" s="61">
        <f t="shared" si="42"/>
        <v>-785219</v>
      </c>
      <c r="I408" s="62">
        <f t="shared" si="43"/>
        <v>-0.97036455758774098</v>
      </c>
      <c r="K408" s="61">
        <v>19184.8</v>
      </c>
      <c r="L408" s="61">
        <f t="shared" si="44"/>
        <v>-790015.2</v>
      </c>
      <c r="M408" s="62">
        <f t="shared" si="45"/>
        <v>-0.9762916460701927</v>
      </c>
      <c r="O408" s="61">
        <v>17985.75</v>
      </c>
      <c r="P408" s="61">
        <f t="shared" si="46"/>
        <v>-791214.25</v>
      </c>
      <c r="Q408" s="62">
        <f t="shared" si="47"/>
        <v>-0.97777341819080577</v>
      </c>
    </row>
    <row r="409" spans="1:17">
      <c r="A409" s="67">
        <v>369</v>
      </c>
      <c r="B409" s="74" t="s">
        <v>342</v>
      </c>
      <c r="C409" s="71">
        <v>2380000</v>
      </c>
      <c r="D409" s="125" t="s">
        <v>365</v>
      </c>
      <c r="E409" s="50">
        <v>2380000</v>
      </c>
      <c r="G409" s="61">
        <v>125631</v>
      </c>
      <c r="H409" s="61">
        <f t="shared" si="42"/>
        <v>-2254369</v>
      </c>
      <c r="I409" s="62">
        <f t="shared" si="43"/>
        <v>-0.94721386554621845</v>
      </c>
      <c r="K409" s="61">
        <v>100504.8</v>
      </c>
      <c r="L409" s="61">
        <f t="shared" si="44"/>
        <v>-2279495.2000000002</v>
      </c>
      <c r="M409" s="62">
        <f t="shared" si="45"/>
        <v>-0.95777109243697489</v>
      </c>
      <c r="O409" s="61">
        <v>94223.25</v>
      </c>
      <c r="P409" s="61">
        <f t="shared" si="46"/>
        <v>-2285776.75</v>
      </c>
      <c r="Q409" s="62">
        <f t="shared" si="47"/>
        <v>-0.96041039915966386</v>
      </c>
    </row>
    <row r="410" spans="1:17">
      <c r="A410" s="67">
        <v>370</v>
      </c>
      <c r="B410" s="74" t="s">
        <v>343</v>
      </c>
      <c r="C410" s="71">
        <v>11665</v>
      </c>
      <c r="D410" s="125" t="s">
        <v>366</v>
      </c>
      <c r="G410" s="61">
        <v>20262</v>
      </c>
      <c r="H410" s="61">
        <f t="shared" si="42"/>
        <v>8597</v>
      </c>
      <c r="I410" s="62">
        <f t="shared" si="43"/>
        <v>0.73699099871410201</v>
      </c>
      <c r="K410" s="61">
        <v>16209.6</v>
      </c>
      <c r="L410" s="61">
        <f t="shared" si="44"/>
        <v>4544.6000000000004</v>
      </c>
      <c r="M410" s="62">
        <f t="shared" si="45"/>
        <v>0.38959279897128163</v>
      </c>
      <c r="O410" s="61">
        <v>15196.5</v>
      </c>
      <c r="P410" s="61">
        <f t="shared" si="46"/>
        <v>3531.5</v>
      </c>
      <c r="Q410" s="62">
        <f t="shared" si="47"/>
        <v>0.30274324903557653</v>
      </c>
    </row>
    <row r="411" spans="1:17">
      <c r="A411" s="67">
        <v>371</v>
      </c>
      <c r="B411" s="74" t="s">
        <v>343</v>
      </c>
      <c r="C411" s="71">
        <v>419900</v>
      </c>
      <c r="D411" s="125" t="s">
        <v>365</v>
      </c>
      <c r="G411" s="61">
        <v>24886</v>
      </c>
      <c r="H411" s="61">
        <f t="shared" si="42"/>
        <v>-395014</v>
      </c>
      <c r="I411" s="62">
        <f t="shared" si="43"/>
        <v>-0.94073350797808997</v>
      </c>
      <c r="K411" s="61">
        <v>19908.8</v>
      </c>
      <c r="L411" s="61">
        <f t="shared" si="44"/>
        <v>-399991.2</v>
      </c>
      <c r="M411" s="62">
        <f t="shared" si="45"/>
        <v>-0.95258680638247206</v>
      </c>
      <c r="O411" s="61">
        <v>18664.5</v>
      </c>
      <c r="P411" s="61">
        <f t="shared" si="46"/>
        <v>-401235.5</v>
      </c>
      <c r="Q411" s="62">
        <f t="shared" si="47"/>
        <v>-0.95555013098356756</v>
      </c>
    </row>
    <row r="412" spans="1:17">
      <c r="A412" s="67">
        <v>372</v>
      </c>
      <c r="B412" s="74" t="s">
        <v>344</v>
      </c>
      <c r="C412" s="71">
        <v>72390</v>
      </c>
      <c r="D412" s="125" t="s">
        <v>366</v>
      </c>
      <c r="G412" s="61">
        <v>24632</v>
      </c>
      <c r="H412" s="61">
        <f t="shared" si="42"/>
        <v>-47758</v>
      </c>
      <c r="I412" s="62">
        <f t="shared" si="43"/>
        <v>-0.6597320071833126</v>
      </c>
      <c r="K412" s="61">
        <v>19705.599999999999</v>
      </c>
      <c r="L412" s="61">
        <f t="shared" si="44"/>
        <v>-52684.4</v>
      </c>
      <c r="M412" s="62">
        <f t="shared" si="45"/>
        <v>-0.72778560574665008</v>
      </c>
      <c r="O412" s="61">
        <v>18474</v>
      </c>
      <c r="P412" s="61">
        <f t="shared" si="46"/>
        <v>-53916</v>
      </c>
      <c r="Q412" s="62">
        <f t="shared" si="47"/>
        <v>-0.74479900538748445</v>
      </c>
    </row>
    <row r="413" spans="1:17">
      <c r="A413" s="67">
        <v>373</v>
      </c>
      <c r="B413" s="74" t="s">
        <v>344</v>
      </c>
      <c r="C413" s="71">
        <v>2606100</v>
      </c>
      <c r="D413" s="125" t="s">
        <v>365</v>
      </c>
      <c r="E413" s="50">
        <v>2606100</v>
      </c>
      <c r="G413" s="61">
        <v>89968</v>
      </c>
      <c r="H413" s="61">
        <f t="shared" si="42"/>
        <v>-2516132</v>
      </c>
      <c r="I413" s="62">
        <f t="shared" si="43"/>
        <v>-0.965477917194275</v>
      </c>
      <c r="K413" s="61">
        <v>71974.399999999994</v>
      </c>
      <c r="L413" s="61">
        <f t="shared" si="44"/>
        <v>-2534125.6</v>
      </c>
      <c r="M413" s="62">
        <f t="shared" si="45"/>
        <v>-0.97238233375542005</v>
      </c>
      <c r="O413" s="61">
        <v>67476</v>
      </c>
      <c r="P413" s="61">
        <f t="shared" si="46"/>
        <v>-2538624</v>
      </c>
      <c r="Q413" s="62">
        <f t="shared" si="47"/>
        <v>-0.97410843789570623</v>
      </c>
    </row>
    <row r="414" spans="1:17">
      <c r="A414" s="67">
        <v>374</v>
      </c>
      <c r="B414" s="74" t="s">
        <v>345</v>
      </c>
      <c r="C414" s="71">
        <v>4695</v>
      </c>
      <c r="D414" s="125" t="s">
        <v>366</v>
      </c>
      <c r="G414" s="61">
        <v>3150</v>
      </c>
      <c r="H414" s="61">
        <f t="shared" si="42"/>
        <v>-1545</v>
      </c>
      <c r="I414" s="62">
        <f t="shared" si="43"/>
        <v>-0.32907348242811502</v>
      </c>
      <c r="K414" s="61">
        <v>2520</v>
      </c>
      <c r="L414" s="61">
        <f t="shared" si="44"/>
        <v>-2175</v>
      </c>
      <c r="M414" s="62">
        <f t="shared" si="45"/>
        <v>-0.46325878594249204</v>
      </c>
      <c r="O414" s="61">
        <v>2362.5</v>
      </c>
      <c r="P414" s="61">
        <f t="shared" si="46"/>
        <v>-2332.5</v>
      </c>
      <c r="Q414" s="62">
        <f t="shared" si="47"/>
        <v>-0.49680511182108628</v>
      </c>
    </row>
    <row r="415" spans="1:17">
      <c r="A415" s="67">
        <v>375</v>
      </c>
      <c r="B415" s="74" t="s">
        <v>345</v>
      </c>
      <c r="C415" s="71">
        <v>168980</v>
      </c>
      <c r="D415" s="125" t="s">
        <v>365</v>
      </c>
      <c r="G415" s="61">
        <v>5744</v>
      </c>
      <c r="H415" s="61">
        <f t="shared" si="42"/>
        <v>-163236</v>
      </c>
      <c r="I415" s="62">
        <f t="shared" si="43"/>
        <v>-0.96600781157533433</v>
      </c>
      <c r="K415" s="61">
        <v>4595.2</v>
      </c>
      <c r="L415" s="61">
        <f t="shared" si="44"/>
        <v>-164384.79999999999</v>
      </c>
      <c r="M415" s="62">
        <f t="shared" si="45"/>
        <v>-0.97280624926026737</v>
      </c>
      <c r="O415" s="61">
        <v>4308</v>
      </c>
      <c r="P415" s="61">
        <f t="shared" si="46"/>
        <v>-164672</v>
      </c>
      <c r="Q415" s="62">
        <f t="shared" si="47"/>
        <v>-0.97450585868150075</v>
      </c>
    </row>
    <row r="416" spans="1:17">
      <c r="A416" s="67">
        <v>376</v>
      </c>
      <c r="B416" s="74" t="s">
        <v>346</v>
      </c>
      <c r="C416" s="71">
        <v>2810</v>
      </c>
      <c r="D416" s="125" t="s">
        <v>366</v>
      </c>
      <c r="G416" s="61">
        <v>3230</v>
      </c>
      <c r="H416" s="61">
        <f t="shared" si="42"/>
        <v>420</v>
      </c>
      <c r="I416" s="62">
        <f t="shared" si="43"/>
        <v>0.1494661921708185</v>
      </c>
      <c r="K416" s="61">
        <v>2584</v>
      </c>
      <c r="L416" s="61">
        <f t="shared" si="44"/>
        <v>-226</v>
      </c>
      <c r="M416" s="62">
        <f t="shared" si="45"/>
        <v>-8.0427046263345195E-2</v>
      </c>
      <c r="O416" s="61">
        <v>2422.5</v>
      </c>
      <c r="P416" s="61">
        <f t="shared" si="46"/>
        <v>-387.5</v>
      </c>
      <c r="Q416" s="62">
        <f t="shared" si="47"/>
        <v>-0.13790035587188612</v>
      </c>
    </row>
    <row r="417" spans="1:17">
      <c r="A417" s="67">
        <v>377</v>
      </c>
      <c r="B417" s="74" t="s">
        <v>346</v>
      </c>
      <c r="C417" s="71">
        <v>101150</v>
      </c>
      <c r="D417" s="125" t="s">
        <v>365</v>
      </c>
      <c r="G417" s="61">
        <v>5878</v>
      </c>
      <c r="H417" s="61">
        <f t="shared" si="42"/>
        <v>-95272</v>
      </c>
      <c r="I417" s="62">
        <f t="shared" si="43"/>
        <v>-0.941888284725655</v>
      </c>
      <c r="K417" s="61">
        <v>4702.3999999999996</v>
      </c>
      <c r="L417" s="61">
        <f t="shared" si="44"/>
        <v>-96447.6</v>
      </c>
      <c r="M417" s="62">
        <f t="shared" si="45"/>
        <v>-0.95351062778052398</v>
      </c>
      <c r="O417" s="61">
        <v>4408.5</v>
      </c>
      <c r="P417" s="61">
        <f t="shared" si="46"/>
        <v>-96741.5</v>
      </c>
      <c r="Q417" s="62">
        <f t="shared" si="47"/>
        <v>-0.95641621354424122</v>
      </c>
    </row>
    <row r="418" spans="1:17">
      <c r="A418" s="67">
        <v>378</v>
      </c>
      <c r="B418" s="74" t="s">
        <v>347</v>
      </c>
      <c r="C418" s="71">
        <v>182552</v>
      </c>
      <c r="D418" s="125" t="s">
        <v>365</v>
      </c>
      <c r="E418" s="50">
        <v>345100</v>
      </c>
      <c r="G418" s="61">
        <v>9276</v>
      </c>
      <c r="H418" s="61">
        <f t="shared" si="42"/>
        <v>-173276</v>
      </c>
      <c r="I418" s="62">
        <f t="shared" si="43"/>
        <v>-0.94918708094132087</v>
      </c>
      <c r="K418" s="61">
        <v>7420.8</v>
      </c>
      <c r="L418" s="61">
        <f t="shared" si="44"/>
        <v>-175131.2</v>
      </c>
      <c r="M418" s="62">
        <f t="shared" si="45"/>
        <v>-0.95934966475305672</v>
      </c>
      <c r="O418" s="61">
        <v>6957</v>
      </c>
      <c r="P418" s="61">
        <f t="shared" si="46"/>
        <v>-175595</v>
      </c>
      <c r="Q418" s="62">
        <f t="shared" si="47"/>
        <v>-0.96189031070599063</v>
      </c>
    </row>
    <row r="419" spans="1:17">
      <c r="A419" s="67">
        <v>379</v>
      </c>
      <c r="B419" s="74" t="s">
        <v>348</v>
      </c>
      <c r="C419" s="71">
        <v>217680</v>
      </c>
      <c r="D419" s="125" t="s">
        <v>365</v>
      </c>
      <c r="E419" s="50">
        <v>368900</v>
      </c>
      <c r="G419" s="61">
        <v>12896</v>
      </c>
      <c r="H419" s="61">
        <f t="shared" si="42"/>
        <v>-204784</v>
      </c>
      <c r="I419" s="62">
        <f t="shared" si="43"/>
        <v>-0.94075707460492464</v>
      </c>
      <c r="K419" s="61">
        <v>10316.799999999999</v>
      </c>
      <c r="L419" s="61">
        <f t="shared" si="44"/>
        <v>-207363.20000000001</v>
      </c>
      <c r="M419" s="62">
        <f t="shared" si="45"/>
        <v>-0.95260565968393973</v>
      </c>
      <c r="O419" s="61">
        <v>9672</v>
      </c>
      <c r="P419" s="61">
        <f t="shared" si="46"/>
        <v>-208008</v>
      </c>
      <c r="Q419" s="62">
        <f t="shared" si="47"/>
        <v>-0.95556780595369351</v>
      </c>
    </row>
    <row r="420" spans="1:17">
      <c r="A420" s="67">
        <v>380</v>
      </c>
      <c r="B420" s="74" t="s">
        <v>349</v>
      </c>
      <c r="C420" s="71">
        <v>22645</v>
      </c>
      <c r="D420" s="125" t="s">
        <v>366</v>
      </c>
      <c r="G420" s="61">
        <v>14570</v>
      </c>
      <c r="H420" s="61">
        <f t="shared" si="42"/>
        <v>-8075</v>
      </c>
      <c r="I420" s="62">
        <f t="shared" si="43"/>
        <v>-0.35659085890925152</v>
      </c>
      <c r="K420" s="61">
        <v>11656</v>
      </c>
      <c r="L420" s="61">
        <f t="shared" si="44"/>
        <v>-10989</v>
      </c>
      <c r="M420" s="62">
        <f t="shared" si="45"/>
        <v>-0.48527268712740118</v>
      </c>
      <c r="O420" s="61">
        <v>10927.5</v>
      </c>
      <c r="P420" s="61">
        <f t="shared" si="46"/>
        <v>-11717.5</v>
      </c>
      <c r="Q420" s="62">
        <f t="shared" si="47"/>
        <v>-0.5174431441819386</v>
      </c>
    </row>
    <row r="421" spans="1:17">
      <c r="A421" s="67">
        <v>381</v>
      </c>
      <c r="B421" s="74" t="s">
        <v>349</v>
      </c>
      <c r="C421" s="71">
        <v>815150</v>
      </c>
      <c r="D421" s="125" t="s">
        <v>365</v>
      </c>
      <c r="E421" s="50">
        <v>815150</v>
      </c>
      <c r="G421" s="61">
        <v>37420</v>
      </c>
      <c r="H421" s="61">
        <f t="shared" si="42"/>
        <v>-777730</v>
      </c>
      <c r="I421" s="62">
        <f t="shared" si="43"/>
        <v>-0.95409433846531311</v>
      </c>
      <c r="K421" s="61">
        <v>29936</v>
      </c>
      <c r="L421" s="61">
        <f t="shared" si="44"/>
        <v>-785214</v>
      </c>
      <c r="M421" s="62">
        <f t="shared" si="45"/>
        <v>-0.96327547077225051</v>
      </c>
      <c r="O421" s="61">
        <v>28065</v>
      </c>
      <c r="P421" s="61">
        <f t="shared" si="46"/>
        <v>-787085</v>
      </c>
      <c r="Q421" s="62">
        <f t="shared" si="47"/>
        <v>-0.96557075384898483</v>
      </c>
    </row>
    <row r="422" spans="1:17">
      <c r="A422" s="67">
        <v>382</v>
      </c>
      <c r="B422" s="74" t="s">
        <v>350</v>
      </c>
      <c r="C422" s="71">
        <v>26610</v>
      </c>
      <c r="D422" s="125" t="s">
        <v>366</v>
      </c>
      <c r="G422" s="61">
        <v>24487</v>
      </c>
      <c r="H422" s="61">
        <f t="shared" si="42"/>
        <v>-2123</v>
      </c>
      <c r="I422" s="62">
        <f t="shared" si="43"/>
        <v>-7.9782036828260058E-2</v>
      </c>
      <c r="K422" s="61">
        <v>19589.599999999999</v>
      </c>
      <c r="L422" s="61">
        <f t="shared" si="44"/>
        <v>-7020.4000000000015</v>
      </c>
      <c r="M422" s="62">
        <f t="shared" si="45"/>
        <v>-0.26382562946260812</v>
      </c>
      <c r="O422" s="61">
        <v>18365.25</v>
      </c>
      <c r="P422" s="61">
        <f t="shared" si="46"/>
        <v>-8244.75</v>
      </c>
      <c r="Q422" s="62">
        <f t="shared" si="47"/>
        <v>-0.30983652762119501</v>
      </c>
    </row>
    <row r="423" spans="1:17">
      <c r="A423" s="67">
        <v>383</v>
      </c>
      <c r="B423" s="74" t="s">
        <v>350</v>
      </c>
      <c r="C423" s="71">
        <v>957950</v>
      </c>
      <c r="D423" s="125" t="s">
        <v>365</v>
      </c>
      <c r="E423" s="50">
        <v>957950</v>
      </c>
      <c r="G423" s="61">
        <v>72171</v>
      </c>
      <c r="H423" s="61">
        <f t="shared" si="42"/>
        <v>-885779</v>
      </c>
      <c r="I423" s="62">
        <f t="shared" si="43"/>
        <v>-0.92466099483271569</v>
      </c>
      <c r="K423" s="61">
        <v>57736.800000000003</v>
      </c>
      <c r="L423" s="61">
        <f t="shared" si="44"/>
        <v>-900213.2</v>
      </c>
      <c r="M423" s="62">
        <f t="shared" si="45"/>
        <v>-0.93972879586617253</v>
      </c>
      <c r="O423" s="61">
        <v>54128.25</v>
      </c>
      <c r="P423" s="61">
        <f t="shared" si="46"/>
        <v>-903821.75</v>
      </c>
      <c r="Q423" s="62">
        <f t="shared" si="47"/>
        <v>-0.94349574612453679</v>
      </c>
    </row>
    <row r="424" spans="1:17">
      <c r="A424" s="67">
        <v>384</v>
      </c>
      <c r="B424" s="74" t="s">
        <v>351</v>
      </c>
      <c r="C424" s="71">
        <v>73715</v>
      </c>
      <c r="D424" s="125" t="s">
        <v>366</v>
      </c>
      <c r="G424" s="61">
        <v>67225</v>
      </c>
      <c r="H424" s="61">
        <f t="shared" si="42"/>
        <v>-6490</v>
      </c>
      <c r="I424" s="62">
        <f t="shared" si="43"/>
        <v>-8.804178254086685E-2</v>
      </c>
      <c r="K424" s="61">
        <v>53780</v>
      </c>
      <c r="L424" s="61">
        <f t="shared" si="44"/>
        <v>-19935</v>
      </c>
      <c r="M424" s="62">
        <f t="shared" si="45"/>
        <v>-0.27043342603269349</v>
      </c>
      <c r="O424" s="61">
        <v>50418.75</v>
      </c>
      <c r="P424" s="61">
        <f t="shared" si="46"/>
        <v>-23296.25</v>
      </c>
      <c r="Q424" s="62">
        <f t="shared" si="47"/>
        <v>-0.31603133690565016</v>
      </c>
    </row>
    <row r="425" spans="1:17">
      <c r="A425" s="67">
        <v>385</v>
      </c>
      <c r="B425" s="74" t="s">
        <v>351</v>
      </c>
      <c r="C425" s="71">
        <v>2653700</v>
      </c>
      <c r="D425" s="125" t="s">
        <v>365</v>
      </c>
      <c r="E425" s="50">
        <v>2653700</v>
      </c>
      <c r="G425" s="61">
        <v>95157</v>
      </c>
      <c r="H425" s="61">
        <f t="shared" si="42"/>
        <v>-2558543</v>
      </c>
      <c r="I425" s="62">
        <f t="shared" si="43"/>
        <v>-0.96414176432904997</v>
      </c>
      <c r="K425" s="61">
        <v>76125.600000000006</v>
      </c>
      <c r="L425" s="61">
        <f t="shared" si="44"/>
        <v>-2577574.4</v>
      </c>
      <c r="M425" s="62">
        <f t="shared" si="45"/>
        <v>-0.97131341146324002</v>
      </c>
      <c r="O425" s="61">
        <v>71367.75</v>
      </c>
      <c r="P425" s="61">
        <f t="shared" si="46"/>
        <v>-2582332.25</v>
      </c>
      <c r="Q425" s="62">
        <f t="shared" si="47"/>
        <v>-0.97310632324678747</v>
      </c>
    </row>
    <row r="426" spans="1:17">
      <c r="A426" s="67">
        <v>386</v>
      </c>
      <c r="B426" s="74" t="s">
        <v>352</v>
      </c>
      <c r="C426" s="71">
        <v>97515</v>
      </c>
      <c r="D426" s="125" t="s">
        <v>366</v>
      </c>
      <c r="G426" s="61">
        <v>69006</v>
      </c>
      <c r="H426" s="61">
        <f t="shared" si="42"/>
        <v>-28509</v>
      </c>
      <c r="I426" s="62">
        <f t="shared" si="43"/>
        <v>-0.29235502230426086</v>
      </c>
      <c r="K426" s="61">
        <v>55204.800000000003</v>
      </c>
      <c r="L426" s="61">
        <f t="shared" si="44"/>
        <v>-42310.2</v>
      </c>
      <c r="M426" s="62">
        <f t="shared" si="45"/>
        <v>-0.43388401784340869</v>
      </c>
      <c r="O426" s="61">
        <v>51754.5</v>
      </c>
      <c r="P426" s="61">
        <f t="shared" si="46"/>
        <v>-45760.5</v>
      </c>
      <c r="Q426" s="62">
        <f t="shared" si="47"/>
        <v>-0.46926626672819566</v>
      </c>
    </row>
    <row r="427" spans="1:17">
      <c r="A427" s="67">
        <v>387</v>
      </c>
      <c r="B427" s="74" t="s">
        <v>352</v>
      </c>
      <c r="C427" s="71">
        <v>3510500</v>
      </c>
      <c r="D427" s="125" t="s">
        <v>365</v>
      </c>
      <c r="E427" s="50">
        <v>3510500</v>
      </c>
      <c r="G427" s="61">
        <v>103844</v>
      </c>
      <c r="H427" s="61">
        <f t="shared" si="42"/>
        <v>-3406656</v>
      </c>
      <c r="I427" s="62">
        <f t="shared" si="43"/>
        <v>-0.97041902862840046</v>
      </c>
      <c r="K427" s="61">
        <v>83075.199999999997</v>
      </c>
      <c r="L427" s="61">
        <f t="shared" si="44"/>
        <v>-3427424.8</v>
      </c>
      <c r="M427" s="62">
        <f t="shared" si="45"/>
        <v>-0.97633522290272035</v>
      </c>
      <c r="O427" s="61">
        <v>77883</v>
      </c>
      <c r="P427" s="61">
        <f t="shared" si="46"/>
        <v>-3432617</v>
      </c>
      <c r="Q427" s="62">
        <f t="shared" si="47"/>
        <v>-0.9778142714713004</v>
      </c>
    </row>
    <row r="428" spans="1:17">
      <c r="A428" s="67">
        <v>388</v>
      </c>
      <c r="B428" s="74" t="s">
        <v>353</v>
      </c>
      <c r="C428" s="71">
        <v>155360</v>
      </c>
      <c r="D428" s="125" t="s">
        <v>366</v>
      </c>
      <c r="G428" s="61">
        <v>106898</v>
      </c>
      <c r="H428" s="61">
        <f t="shared" si="42"/>
        <v>-48462</v>
      </c>
      <c r="I428" s="62">
        <f t="shared" si="43"/>
        <v>-0.3119335736354274</v>
      </c>
      <c r="K428" s="61">
        <v>85518.399999999994</v>
      </c>
      <c r="L428" s="61">
        <f t="shared" si="44"/>
        <v>-69841.600000000006</v>
      </c>
      <c r="M428" s="62">
        <f t="shared" si="45"/>
        <v>-0.44954685890834195</v>
      </c>
      <c r="O428" s="61">
        <v>80173.5</v>
      </c>
      <c r="P428" s="61">
        <f t="shared" si="46"/>
        <v>-75186.5</v>
      </c>
      <c r="Q428" s="62">
        <f t="shared" si="47"/>
        <v>-0.48395018022657055</v>
      </c>
    </row>
    <row r="429" spans="1:17">
      <c r="A429" s="67">
        <v>389</v>
      </c>
      <c r="B429" s="74" t="s">
        <v>353</v>
      </c>
      <c r="C429" s="71">
        <v>5593000</v>
      </c>
      <c r="D429" s="125" t="s">
        <v>365</v>
      </c>
      <c r="E429" s="50">
        <v>5593000</v>
      </c>
      <c r="G429" s="61">
        <v>119907</v>
      </c>
      <c r="H429" s="61">
        <f t="shared" si="42"/>
        <v>-5473093</v>
      </c>
      <c r="I429" s="62">
        <f t="shared" si="43"/>
        <v>-0.97856123726086175</v>
      </c>
      <c r="K429" s="61">
        <v>95925.6</v>
      </c>
      <c r="L429" s="61">
        <f t="shared" si="44"/>
        <v>-5497074.4000000004</v>
      </c>
      <c r="M429" s="62">
        <f t="shared" si="45"/>
        <v>-0.98284898980868951</v>
      </c>
      <c r="O429" s="61">
        <v>89930.25</v>
      </c>
      <c r="P429" s="61">
        <f t="shared" si="46"/>
        <v>-5503069.75</v>
      </c>
      <c r="Q429" s="62">
        <f t="shared" si="47"/>
        <v>-0.98392092794564634</v>
      </c>
    </row>
    <row r="430" spans="1:17">
      <c r="A430" s="67">
        <v>390</v>
      </c>
      <c r="B430" s="74" t="s">
        <v>354</v>
      </c>
      <c r="C430" s="71">
        <v>80360</v>
      </c>
      <c r="D430" s="125" t="s">
        <v>366</v>
      </c>
      <c r="G430" s="61">
        <v>60873</v>
      </c>
      <c r="H430" s="61">
        <f t="shared" si="42"/>
        <v>-19487</v>
      </c>
      <c r="I430" s="62">
        <f t="shared" si="43"/>
        <v>-0.2424962667994027</v>
      </c>
      <c r="K430" s="61">
        <v>48698.400000000001</v>
      </c>
      <c r="L430" s="61">
        <f t="shared" si="44"/>
        <v>-31661.599999999999</v>
      </c>
      <c r="M430" s="62">
        <f t="shared" si="45"/>
        <v>-0.39399701343952215</v>
      </c>
      <c r="O430" s="61">
        <v>45654.75</v>
      </c>
      <c r="P430" s="61">
        <f t="shared" si="46"/>
        <v>-34705.25</v>
      </c>
      <c r="Q430" s="62">
        <f t="shared" si="47"/>
        <v>-0.43187220009955202</v>
      </c>
    </row>
    <row r="431" spans="1:17">
      <c r="A431" s="67">
        <v>391</v>
      </c>
      <c r="B431" s="74" t="s">
        <v>354</v>
      </c>
      <c r="C431" s="71">
        <v>2892980</v>
      </c>
      <c r="D431" s="125" t="s">
        <v>365</v>
      </c>
      <c r="E431" s="50">
        <v>2892890</v>
      </c>
      <c r="G431" s="61">
        <v>101944</v>
      </c>
      <c r="H431" s="61">
        <f t="shared" si="42"/>
        <v>-2791036</v>
      </c>
      <c r="I431" s="62">
        <f t="shared" si="43"/>
        <v>-0.96476159531002637</v>
      </c>
      <c r="K431" s="61">
        <v>81555.199999999997</v>
      </c>
      <c r="L431" s="61">
        <f t="shared" si="44"/>
        <v>-2811424.8</v>
      </c>
      <c r="M431" s="62">
        <f t="shared" si="45"/>
        <v>-0.97180927624802105</v>
      </c>
      <c r="O431" s="61">
        <v>76458</v>
      </c>
      <c r="P431" s="61">
        <f t="shared" si="46"/>
        <v>-2816522</v>
      </c>
      <c r="Q431" s="62">
        <f t="shared" si="47"/>
        <v>-0.97357119648251977</v>
      </c>
    </row>
    <row r="432" spans="1:17">
      <c r="A432" s="67">
        <v>392</v>
      </c>
      <c r="B432" s="74" t="s">
        <v>355</v>
      </c>
      <c r="C432" s="71">
        <v>105780</v>
      </c>
      <c r="D432" s="125" t="s">
        <v>366</v>
      </c>
      <c r="G432" s="61">
        <v>70318</v>
      </c>
      <c r="H432" s="61">
        <f t="shared" si="42"/>
        <v>-35462</v>
      </c>
      <c r="I432" s="62">
        <f t="shared" si="43"/>
        <v>-0.33524295708073359</v>
      </c>
      <c r="K432" s="61">
        <v>56254.400000000001</v>
      </c>
      <c r="L432" s="61">
        <f t="shared" si="44"/>
        <v>-49525.599999999999</v>
      </c>
      <c r="M432" s="62">
        <f t="shared" si="45"/>
        <v>-0.46819436566458689</v>
      </c>
      <c r="O432" s="61">
        <v>52738.5</v>
      </c>
      <c r="P432" s="61">
        <f t="shared" si="46"/>
        <v>-53041.5</v>
      </c>
      <c r="Q432" s="62">
        <f t="shared" si="47"/>
        <v>-0.50143221781055025</v>
      </c>
    </row>
    <row r="433" spans="1:17">
      <c r="A433" s="67">
        <v>393</v>
      </c>
      <c r="B433" s="74" t="s">
        <v>355</v>
      </c>
      <c r="C433" s="71">
        <v>3808000</v>
      </c>
      <c r="D433" s="125" t="s">
        <v>365</v>
      </c>
      <c r="E433" s="50">
        <v>3807920</v>
      </c>
      <c r="G433" s="61">
        <v>101582</v>
      </c>
      <c r="H433" s="61">
        <f t="shared" si="42"/>
        <v>-3706418</v>
      </c>
      <c r="I433" s="62">
        <f t="shared" si="43"/>
        <v>-0.97332405462184879</v>
      </c>
      <c r="K433" s="61">
        <v>81265.600000000006</v>
      </c>
      <c r="L433" s="61">
        <f t="shared" si="44"/>
        <v>-3726734.4</v>
      </c>
      <c r="M433" s="62">
        <f t="shared" si="45"/>
        <v>-0.97865924369747892</v>
      </c>
      <c r="O433" s="61">
        <v>76186.5</v>
      </c>
      <c r="P433" s="61">
        <f t="shared" si="46"/>
        <v>-3731813.5</v>
      </c>
      <c r="Q433" s="62">
        <f t="shared" si="47"/>
        <v>-0.97999304096638651</v>
      </c>
    </row>
    <row r="434" spans="1:17">
      <c r="A434" s="67">
        <v>394</v>
      </c>
      <c r="B434" s="74" t="s">
        <v>356</v>
      </c>
      <c r="C434" s="71">
        <v>44620</v>
      </c>
      <c r="D434" s="125" t="s">
        <v>366</v>
      </c>
      <c r="G434" s="61">
        <v>79849</v>
      </c>
      <c r="H434" s="61">
        <f t="shared" si="42"/>
        <v>35229</v>
      </c>
      <c r="I434" s="62">
        <f t="shared" si="43"/>
        <v>0.7895338413267593</v>
      </c>
      <c r="K434" s="61">
        <v>63879.199999999997</v>
      </c>
      <c r="L434" s="61">
        <f t="shared" si="44"/>
        <v>19259.199999999997</v>
      </c>
      <c r="M434" s="62">
        <f t="shared" si="45"/>
        <v>0.43162707306140735</v>
      </c>
      <c r="O434" s="61">
        <v>59886.75</v>
      </c>
      <c r="P434" s="61">
        <f t="shared" si="46"/>
        <v>15266.75</v>
      </c>
      <c r="Q434" s="62">
        <f t="shared" si="47"/>
        <v>0.3421503809950695</v>
      </c>
    </row>
    <row r="435" spans="1:17">
      <c r="A435" s="67">
        <v>395</v>
      </c>
      <c r="B435" s="74" t="s">
        <v>356</v>
      </c>
      <c r="C435" s="71">
        <v>1606380</v>
      </c>
      <c r="D435" s="125" t="s">
        <v>365</v>
      </c>
      <c r="E435" s="50">
        <v>1606381</v>
      </c>
      <c r="G435" s="61">
        <v>117600</v>
      </c>
      <c r="H435" s="61">
        <f t="shared" si="42"/>
        <v>-1488780</v>
      </c>
      <c r="I435" s="62">
        <f t="shared" si="43"/>
        <v>-0.92679191723004517</v>
      </c>
      <c r="K435" s="61">
        <v>94080</v>
      </c>
      <c r="L435" s="61">
        <f t="shared" si="44"/>
        <v>-1512300</v>
      </c>
      <c r="M435" s="62">
        <f t="shared" si="45"/>
        <v>-0.94143353378403616</v>
      </c>
      <c r="O435" s="61">
        <v>88200</v>
      </c>
      <c r="P435" s="61">
        <f t="shared" si="46"/>
        <v>-1518180</v>
      </c>
      <c r="Q435" s="62">
        <f t="shared" si="47"/>
        <v>-0.94509393792253393</v>
      </c>
    </row>
    <row r="436" spans="1:17">
      <c r="A436" s="67">
        <v>396</v>
      </c>
      <c r="B436" s="74" t="s">
        <v>357</v>
      </c>
      <c r="C436" s="71">
        <v>36910</v>
      </c>
      <c r="D436" s="125" t="s">
        <v>366</v>
      </c>
      <c r="G436" s="61">
        <v>36465</v>
      </c>
      <c r="H436" s="61">
        <f t="shared" si="42"/>
        <v>-445</v>
      </c>
      <c r="I436" s="62">
        <f t="shared" si="43"/>
        <v>-1.2056353291790842E-2</v>
      </c>
      <c r="K436" s="61">
        <v>29172</v>
      </c>
      <c r="L436" s="61">
        <f t="shared" si="44"/>
        <v>-7738</v>
      </c>
      <c r="M436" s="62">
        <f t="shared" si="45"/>
        <v>-0.20964508263343268</v>
      </c>
      <c r="O436" s="61">
        <v>27348.75</v>
      </c>
      <c r="P436" s="61">
        <f t="shared" si="46"/>
        <v>-9561.25</v>
      </c>
      <c r="Q436" s="62">
        <f t="shared" si="47"/>
        <v>-0.25904226496884314</v>
      </c>
    </row>
    <row r="437" spans="1:17">
      <c r="A437" s="67">
        <v>397</v>
      </c>
      <c r="B437" s="74" t="s">
        <v>357</v>
      </c>
      <c r="C437" s="71">
        <v>1328800</v>
      </c>
      <c r="D437" s="125" t="s">
        <v>365</v>
      </c>
      <c r="E437" s="50">
        <v>1328800</v>
      </c>
      <c r="G437" s="61">
        <v>66782</v>
      </c>
      <c r="H437" s="61">
        <f t="shared" si="42"/>
        <v>-1262018</v>
      </c>
      <c r="I437" s="62">
        <f t="shared" si="43"/>
        <v>-0.94974262492474415</v>
      </c>
      <c r="K437" s="61">
        <v>53425.599999999999</v>
      </c>
      <c r="L437" s="61">
        <f t="shared" si="44"/>
        <v>-1275374.3999999999</v>
      </c>
      <c r="M437" s="62">
        <f t="shared" si="45"/>
        <v>-0.95979409993979525</v>
      </c>
      <c r="O437" s="61">
        <v>50086.5</v>
      </c>
      <c r="P437" s="61">
        <f t="shared" si="46"/>
        <v>-1278713.5</v>
      </c>
      <c r="Q437" s="62">
        <f t="shared" si="47"/>
        <v>-0.96230696869355814</v>
      </c>
    </row>
    <row r="438" spans="1:17">
      <c r="A438" s="67">
        <v>398</v>
      </c>
      <c r="B438" s="74" t="s">
        <v>358</v>
      </c>
      <c r="C438" s="71">
        <v>780</v>
      </c>
      <c r="D438" s="125" t="s">
        <v>366</v>
      </c>
      <c r="G438" s="61">
        <v>4236</v>
      </c>
      <c r="H438" s="61">
        <f t="shared" ref="H438:H447" si="48">+G438-C438</f>
        <v>3456</v>
      </c>
      <c r="I438" s="62">
        <f t="shared" ref="I438:I447" si="49">H438/C438</f>
        <v>4.430769230769231</v>
      </c>
      <c r="K438" s="61">
        <v>3388.8</v>
      </c>
      <c r="L438" s="61">
        <f t="shared" ref="L438:L447" si="50">+K438-C438</f>
        <v>2608.8000000000002</v>
      </c>
      <c r="M438" s="62">
        <f t="shared" ref="M438:M447" si="51">L438/C438</f>
        <v>3.344615384615385</v>
      </c>
      <c r="O438" s="61">
        <v>3177</v>
      </c>
      <c r="P438" s="61">
        <f t="shared" si="46"/>
        <v>2397</v>
      </c>
      <c r="Q438" s="62">
        <f t="shared" si="47"/>
        <v>3.0730769230769233</v>
      </c>
    </row>
    <row r="439" spans="1:17">
      <c r="A439" s="67">
        <v>399</v>
      </c>
      <c r="B439" s="74" t="s">
        <v>358</v>
      </c>
      <c r="C439" s="71">
        <v>27900</v>
      </c>
      <c r="D439" s="125" t="s">
        <v>365</v>
      </c>
      <c r="E439" s="50">
        <v>2333900</v>
      </c>
      <c r="G439" s="61">
        <v>14525</v>
      </c>
      <c r="H439" s="61">
        <f t="shared" si="48"/>
        <v>-13375</v>
      </c>
      <c r="I439" s="62">
        <f t="shared" si="49"/>
        <v>-0.47939068100358423</v>
      </c>
      <c r="K439" s="61">
        <v>11620</v>
      </c>
      <c r="L439" s="61">
        <f t="shared" si="50"/>
        <v>-16280</v>
      </c>
      <c r="M439" s="62">
        <f t="shared" si="51"/>
        <v>-0.58351254480286741</v>
      </c>
      <c r="O439" s="61">
        <v>10893.75</v>
      </c>
      <c r="P439" s="61">
        <f t="shared" si="46"/>
        <v>-17006.25</v>
      </c>
      <c r="Q439" s="62">
        <f t="shared" si="47"/>
        <v>-0.60954301075268813</v>
      </c>
    </row>
    <row r="440" spans="1:17">
      <c r="A440" s="67">
        <v>400</v>
      </c>
      <c r="B440" s="74" t="s">
        <v>359</v>
      </c>
      <c r="C440" s="71">
        <v>60900</v>
      </c>
      <c r="D440" s="125" t="s">
        <v>365</v>
      </c>
      <c r="G440" s="61">
        <v>4294</v>
      </c>
      <c r="H440" s="61">
        <f t="shared" si="48"/>
        <v>-56606</v>
      </c>
      <c r="I440" s="62">
        <f t="shared" si="49"/>
        <v>-0.92949096880131366</v>
      </c>
      <c r="K440" s="61">
        <v>3435.2</v>
      </c>
      <c r="L440" s="61">
        <f t="shared" si="50"/>
        <v>-57464.800000000003</v>
      </c>
      <c r="M440" s="62">
        <f t="shared" si="51"/>
        <v>-0.94359277504105099</v>
      </c>
      <c r="O440" s="61">
        <v>3220.5</v>
      </c>
      <c r="P440" s="61">
        <f t="shared" ref="P440:P447" si="52">+O440-C440</f>
        <v>-57679.5</v>
      </c>
      <c r="Q440" s="62">
        <f t="shared" ref="Q440:Q447" si="53">+P440/C440</f>
        <v>-0.94711822660098521</v>
      </c>
    </row>
    <row r="441" spans="1:17">
      <c r="A441" s="67">
        <v>401</v>
      </c>
      <c r="B441" s="74" t="s">
        <v>360</v>
      </c>
      <c r="C441" s="71">
        <v>6880900</v>
      </c>
      <c r="D441" s="125" t="s">
        <v>365</v>
      </c>
      <c r="E441" s="50">
        <v>6880900</v>
      </c>
      <c r="G441" s="61">
        <v>70134</v>
      </c>
      <c r="H441" s="61">
        <f t="shared" si="48"/>
        <v>-6810766</v>
      </c>
      <c r="I441" s="62">
        <f t="shared" si="49"/>
        <v>-0.98980743798049675</v>
      </c>
      <c r="K441" s="61">
        <v>56107.199999999997</v>
      </c>
      <c r="L441" s="61">
        <f t="shared" si="50"/>
        <v>-6824792.7999999998</v>
      </c>
      <c r="M441" s="62">
        <f t="shared" si="51"/>
        <v>-0.99184595038439738</v>
      </c>
      <c r="O441" s="61">
        <v>52600.5</v>
      </c>
      <c r="P441" s="61">
        <f t="shared" si="52"/>
        <v>-6828299.5</v>
      </c>
      <c r="Q441" s="62">
        <f t="shared" si="53"/>
        <v>-0.99235557848537259</v>
      </c>
    </row>
    <row r="442" spans="1:17">
      <c r="A442" s="67">
        <v>402</v>
      </c>
      <c r="B442" s="74" t="s">
        <v>361</v>
      </c>
      <c r="C442" s="71">
        <v>83350</v>
      </c>
      <c r="D442" s="125" t="s">
        <v>366</v>
      </c>
      <c r="G442" s="61">
        <v>49715</v>
      </c>
      <c r="H442" s="61">
        <f t="shared" si="48"/>
        <v>-33635</v>
      </c>
      <c r="I442" s="62">
        <f t="shared" si="49"/>
        <v>-0.40353929214157169</v>
      </c>
      <c r="K442" s="61">
        <v>39772</v>
      </c>
      <c r="L442" s="61">
        <f t="shared" si="50"/>
        <v>-43578</v>
      </c>
      <c r="M442" s="62">
        <f t="shared" si="51"/>
        <v>-0.52283143371325735</v>
      </c>
      <c r="O442" s="61">
        <v>37286.25</v>
      </c>
      <c r="P442" s="61">
        <f t="shared" si="52"/>
        <v>-46063.75</v>
      </c>
      <c r="Q442" s="62">
        <f t="shared" si="53"/>
        <v>-0.55265446910617877</v>
      </c>
    </row>
    <row r="443" spans="1:17">
      <c r="A443" s="67">
        <v>403</v>
      </c>
      <c r="B443" s="74" t="s">
        <v>361</v>
      </c>
      <c r="C443" s="71">
        <v>3000000</v>
      </c>
      <c r="D443" s="125" t="s">
        <v>365</v>
      </c>
      <c r="E443" s="50">
        <v>1899899</v>
      </c>
      <c r="G443" s="61">
        <v>146418</v>
      </c>
      <c r="H443" s="61">
        <f t="shared" si="48"/>
        <v>-2853582</v>
      </c>
      <c r="I443" s="62">
        <f t="shared" si="49"/>
        <v>-0.95119399999999998</v>
      </c>
      <c r="K443" s="61">
        <v>117134.39999999999</v>
      </c>
      <c r="L443" s="61">
        <f t="shared" si="50"/>
        <v>-2882865.6</v>
      </c>
      <c r="M443" s="62">
        <f t="shared" si="51"/>
        <v>-0.96095520000000001</v>
      </c>
      <c r="O443" s="61">
        <v>109813.5</v>
      </c>
      <c r="P443" s="61">
        <f t="shared" si="52"/>
        <v>-2890186.5</v>
      </c>
      <c r="Q443" s="62">
        <f t="shared" si="53"/>
        <v>-0.96339549999999996</v>
      </c>
    </row>
    <row r="444" spans="1:17">
      <c r="A444" s="67">
        <v>404</v>
      </c>
      <c r="B444" s="74" t="s">
        <v>362</v>
      </c>
      <c r="C444" s="71">
        <v>83350</v>
      </c>
      <c r="D444" s="125" t="s">
        <v>366</v>
      </c>
      <c r="G444" s="61">
        <v>41329</v>
      </c>
      <c r="H444" s="61">
        <f t="shared" si="48"/>
        <v>-42021</v>
      </c>
      <c r="I444" s="62">
        <f t="shared" si="49"/>
        <v>-0.50415116976604679</v>
      </c>
      <c r="K444" s="61">
        <v>33063.199999999997</v>
      </c>
      <c r="L444" s="61">
        <f t="shared" si="50"/>
        <v>-50286.8</v>
      </c>
      <c r="M444" s="62">
        <f t="shared" si="51"/>
        <v>-0.60332093581283752</v>
      </c>
      <c r="O444" s="61">
        <v>30996.75</v>
      </c>
      <c r="P444" s="61">
        <f t="shared" si="52"/>
        <v>-52353.25</v>
      </c>
      <c r="Q444" s="62">
        <f t="shared" si="53"/>
        <v>-0.62811337732453509</v>
      </c>
    </row>
    <row r="445" spans="1:17">
      <c r="A445" s="67">
        <v>405</v>
      </c>
      <c r="B445" s="74" t="s">
        <v>362</v>
      </c>
      <c r="C445" s="71">
        <v>1800000</v>
      </c>
      <c r="D445" s="125" t="s">
        <v>365</v>
      </c>
      <c r="E445" s="50">
        <v>1999999</v>
      </c>
      <c r="G445" s="61">
        <v>86802</v>
      </c>
      <c r="H445" s="61">
        <f t="shared" si="48"/>
        <v>-1713198</v>
      </c>
      <c r="I445" s="62">
        <f t="shared" si="49"/>
        <v>-0.95177666666666672</v>
      </c>
      <c r="K445" s="61">
        <v>69441.600000000006</v>
      </c>
      <c r="L445" s="61">
        <f t="shared" si="50"/>
        <v>-1730558.4</v>
      </c>
      <c r="M445" s="62">
        <f t="shared" si="51"/>
        <v>-0.96142133333333324</v>
      </c>
      <c r="O445" s="61">
        <v>65101.5</v>
      </c>
      <c r="P445" s="61">
        <f t="shared" si="52"/>
        <v>-1734898.5</v>
      </c>
      <c r="Q445" s="62">
        <f t="shared" si="53"/>
        <v>-0.96383249999999998</v>
      </c>
    </row>
    <row r="446" spans="1:17">
      <c r="A446" s="67">
        <v>406</v>
      </c>
      <c r="B446" s="74" t="s">
        <v>363</v>
      </c>
      <c r="C446" s="71">
        <v>53350</v>
      </c>
      <c r="D446" s="125" t="s">
        <v>366</v>
      </c>
      <c r="G446" s="61">
        <v>30562</v>
      </c>
      <c r="H446" s="61">
        <f t="shared" si="48"/>
        <v>-22788</v>
      </c>
      <c r="I446" s="62">
        <f t="shared" si="49"/>
        <v>-0.42714151827553887</v>
      </c>
      <c r="K446" s="61">
        <v>24449.599999999999</v>
      </c>
      <c r="L446" s="61">
        <f t="shared" si="50"/>
        <v>-28900.400000000001</v>
      </c>
      <c r="M446" s="62">
        <f t="shared" si="51"/>
        <v>-0.54171321462043109</v>
      </c>
      <c r="O446" s="61">
        <v>22921.5</v>
      </c>
      <c r="P446" s="61">
        <f t="shared" si="52"/>
        <v>-30428.5</v>
      </c>
      <c r="Q446" s="62">
        <f t="shared" si="53"/>
        <v>-0.57035613870665414</v>
      </c>
    </row>
    <row r="447" spans="1:17">
      <c r="A447" s="67">
        <v>407</v>
      </c>
      <c r="B447" s="74" t="s">
        <v>363</v>
      </c>
      <c r="C447" s="71">
        <v>1920000</v>
      </c>
      <c r="D447" s="125" t="s">
        <v>365</v>
      </c>
      <c r="E447" s="50">
        <v>2261000</v>
      </c>
      <c r="G447" s="61">
        <v>75287</v>
      </c>
      <c r="H447" s="61">
        <f t="shared" si="48"/>
        <v>-1844713</v>
      </c>
      <c r="I447" s="62">
        <f t="shared" si="49"/>
        <v>-0.96078802083333337</v>
      </c>
      <c r="K447" s="61">
        <v>60229.599999999999</v>
      </c>
      <c r="L447" s="61">
        <f t="shared" si="50"/>
        <v>-1859770.4</v>
      </c>
      <c r="M447" s="62">
        <f t="shared" si="51"/>
        <v>-0.9686304166666666</v>
      </c>
      <c r="O447" s="61">
        <v>56465.25</v>
      </c>
      <c r="P447" s="61">
        <f t="shared" si="52"/>
        <v>-1863534.75</v>
      </c>
      <c r="Q447" s="62">
        <f t="shared" si="53"/>
        <v>-0.97059101562500005</v>
      </c>
    </row>
  </sheetData>
  <mergeCells count="10">
    <mergeCell ref="G246:Q246"/>
    <mergeCell ref="A245:B245"/>
    <mergeCell ref="A246:B246"/>
    <mergeCell ref="A35:B35"/>
    <mergeCell ref="A36:B36"/>
    <mergeCell ref="A24:B24"/>
    <mergeCell ref="A3:B3"/>
    <mergeCell ref="A6:B6"/>
    <mergeCell ref="A9:B9"/>
    <mergeCell ref="G36:Q36"/>
  </mergeCells>
  <conditionalFormatting sqref="I38:I244">
    <cfRule type="cellIs" dxfId="24" priority="4" operator="lessThan">
      <formula>0</formula>
    </cfRule>
  </conditionalFormatting>
  <conditionalFormatting sqref="I248:I447">
    <cfRule type="cellIs" dxfId="23" priority="3" operator="lessThan">
      <formula>0</formula>
    </cfRule>
  </conditionalFormatting>
  <conditionalFormatting sqref="M38:M244">
    <cfRule type="cellIs" dxfId="22" priority="6" operator="lessThan">
      <formula>0</formula>
    </cfRule>
  </conditionalFormatting>
  <conditionalFormatting sqref="M248:M447">
    <cfRule type="cellIs" dxfId="21" priority="2" operator="lessThan">
      <formula>0</formula>
    </cfRule>
  </conditionalFormatting>
  <conditionalFormatting sqref="Q38:Q244">
    <cfRule type="cellIs" dxfId="20" priority="5" operator="lessThan">
      <formula>0</formula>
    </cfRule>
  </conditionalFormatting>
  <conditionalFormatting sqref="Q248:Q447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C632"/>
  <sheetViews>
    <sheetView topLeftCell="D464" workbookViewId="0">
      <selection activeCell="N475" sqref="N475"/>
    </sheetView>
  </sheetViews>
  <sheetFormatPr baseColWidth="10" defaultColWidth="11.42578125" defaultRowHeight="13.5"/>
  <cols>
    <col min="1" max="1" width="11.140625" style="77" customWidth="1"/>
    <col min="2" max="2" width="47.42578125" style="50" customWidth="1"/>
    <col min="3" max="4" width="13.85546875" style="50" customWidth="1"/>
    <col min="5" max="5" width="11.42578125" style="50"/>
    <col min="6" max="6" width="12" style="50" customWidth="1"/>
    <col min="7" max="7" width="15.28515625" style="50" bestFit="1" customWidth="1"/>
    <col min="8" max="8" width="19.7109375" style="50" bestFit="1" customWidth="1"/>
    <col min="9" max="9" width="11.85546875" style="50" bestFit="1" customWidth="1"/>
    <col min="10" max="10" width="16" style="50" customWidth="1"/>
    <col min="11" max="11" width="11.85546875" style="358" customWidth="1"/>
    <col min="12" max="12" width="14.5703125" style="50" customWidth="1"/>
    <col min="13" max="13" width="12.28515625" style="50" bestFit="1" customWidth="1"/>
    <col min="14" max="14" width="13.5703125" style="50" bestFit="1" customWidth="1"/>
    <col min="15" max="15" width="12.7109375" style="50" customWidth="1"/>
    <col min="16" max="16" width="9.85546875" style="50" customWidth="1"/>
    <col min="17" max="17" width="13" style="50" bestFit="1" customWidth="1"/>
    <col min="18" max="18" width="9" style="50" bestFit="1" customWidth="1"/>
    <col min="19" max="19" width="12.42578125" style="50" bestFit="1" customWidth="1"/>
    <col min="20" max="20" width="8.42578125" style="50" customWidth="1"/>
    <col min="21" max="21" width="11.7109375" style="50" bestFit="1" customWidth="1"/>
    <col min="22" max="22" width="12" style="50" bestFit="1" customWidth="1"/>
    <col min="23" max="23" width="7" style="50" customWidth="1"/>
    <col min="24" max="24" width="51.140625" style="50" customWidth="1"/>
    <col min="25" max="25" width="15.28515625" style="50" bestFit="1" customWidth="1"/>
    <col min="26" max="26" width="11.42578125" style="50"/>
    <col min="27" max="27" width="11.42578125" style="401"/>
    <col min="28" max="28" width="11.42578125" style="412"/>
    <col min="29" max="29" width="20.7109375" style="50" bestFit="1" customWidth="1"/>
    <col min="30" max="16384" width="11.42578125" style="50"/>
  </cols>
  <sheetData>
    <row r="1" spans="1:28">
      <c r="A1" s="110" t="s">
        <v>452</v>
      </c>
      <c r="B1" s="122">
        <v>177055</v>
      </c>
      <c r="D1" s="120" t="s">
        <v>454</v>
      </c>
      <c r="E1" s="347">
        <f>SUM(D14:D26)</f>
        <v>40</v>
      </c>
      <c r="F1" s="78" t="s">
        <v>455</v>
      </c>
      <c r="G1" s="466">
        <f>SUM(D30:D38)</f>
        <v>0</v>
      </c>
      <c r="I1" s="214">
        <v>1.0928</v>
      </c>
      <c r="AA1" s="50"/>
      <c r="AB1" s="50"/>
    </row>
    <row r="2" spans="1:28">
      <c r="A2" s="110" t="s">
        <v>371</v>
      </c>
      <c r="B2" s="123">
        <v>45530</v>
      </c>
      <c r="AA2" s="50"/>
      <c r="AB2" s="50"/>
    </row>
    <row r="3" spans="1:28" ht="14.25" thickBot="1">
      <c r="A3" s="110" t="s">
        <v>457</v>
      </c>
      <c r="B3" s="124">
        <f>+F475</f>
        <v>0</v>
      </c>
      <c r="D3" s="121" t="e">
        <f>B7/B3</f>
        <v>#DIV/0!</v>
      </c>
      <c r="E3" s="80" t="s">
        <v>458</v>
      </c>
      <c r="F3" s="79">
        <f>+J482</f>
        <v>0.14981158127823485</v>
      </c>
      <c r="AA3" s="50"/>
      <c r="AB3" s="50"/>
    </row>
    <row r="4" spans="1:28" ht="14.25" thickBot="1">
      <c r="A4" s="375" t="s">
        <v>453</v>
      </c>
      <c r="B4" s="494" t="s">
        <v>641</v>
      </c>
      <c r="C4" s="112">
        <v>12</v>
      </c>
      <c r="AA4" s="50"/>
      <c r="AB4" s="50"/>
    </row>
    <row r="5" spans="1:28" ht="14.25" thickBot="1">
      <c r="A5" s="360" t="s">
        <v>652</v>
      </c>
      <c r="B5" s="495">
        <f>VLOOKUP(B4,$Y$7:$Z$24,2,FALSE)</f>
        <v>11</v>
      </c>
      <c r="C5" s="112" t="s">
        <v>1079</v>
      </c>
      <c r="D5" s="80" t="s">
        <v>1072</v>
      </c>
      <c r="AA5" s="50"/>
      <c r="AB5" s="50"/>
    </row>
    <row r="6" spans="1:28">
      <c r="A6" s="110" t="s">
        <v>456</v>
      </c>
      <c r="B6" s="122">
        <v>4</v>
      </c>
      <c r="D6" s="493">
        <f>+D7+C10</f>
        <v>86</v>
      </c>
      <c r="K6" s="50"/>
      <c r="S6" s="370"/>
      <c r="Y6" s="366" t="s">
        <v>453</v>
      </c>
      <c r="Z6" s="367" t="s">
        <v>653</v>
      </c>
      <c r="AA6" s="50"/>
      <c r="AB6" s="50"/>
    </row>
    <row r="7" spans="1:28">
      <c r="A7" s="110" t="s">
        <v>496</v>
      </c>
      <c r="B7" s="124">
        <f>+D475</f>
        <v>498316306.818358</v>
      </c>
      <c r="D7" s="112">
        <v>86</v>
      </c>
      <c r="F7" s="45">
        <v>191</v>
      </c>
      <c r="G7" s="45">
        <f>+F7*0.75</f>
        <v>143.25</v>
      </c>
      <c r="Y7" s="373" t="s">
        <v>634</v>
      </c>
      <c r="Z7" s="368">
        <v>4</v>
      </c>
      <c r="AA7" s="50"/>
      <c r="AB7" s="50"/>
    </row>
    <row r="8" spans="1:28">
      <c r="A8" s="111"/>
      <c r="B8" s="65"/>
      <c r="C8" s="65"/>
      <c r="F8" s="132">
        <v>603</v>
      </c>
      <c r="G8" s="456">
        <f>1-(F10/F8)</f>
        <v>0.76243781094527363</v>
      </c>
      <c r="Y8" s="373" t="s">
        <v>635</v>
      </c>
      <c r="Z8" s="368">
        <v>5</v>
      </c>
      <c r="AA8" s="50"/>
      <c r="AB8" s="50"/>
    </row>
    <row r="9" spans="1:28">
      <c r="A9" s="572" t="s">
        <v>430</v>
      </c>
      <c r="B9" s="573"/>
      <c r="C9" s="63"/>
      <c r="D9" s="49" t="s">
        <v>459</v>
      </c>
      <c r="E9" s="49" t="s">
        <v>460</v>
      </c>
      <c r="F9" s="49" t="s">
        <v>461</v>
      </c>
      <c r="G9" s="51" t="s">
        <v>462</v>
      </c>
      <c r="I9" s="81" t="s">
        <v>447</v>
      </c>
      <c r="J9" s="81" t="s">
        <v>463</v>
      </c>
      <c r="Y9" s="373" t="s">
        <v>636</v>
      </c>
      <c r="Z9" s="368">
        <v>6</v>
      </c>
      <c r="AA9" s="50"/>
      <c r="AB9" s="50"/>
    </row>
    <row r="10" spans="1:28">
      <c r="A10" s="112">
        <v>2</v>
      </c>
      <c r="B10" s="76" t="s">
        <v>431</v>
      </c>
      <c r="C10" s="492">
        <v>0</v>
      </c>
      <c r="D10" s="347"/>
      <c r="E10" s="347">
        <f>B6</f>
        <v>4</v>
      </c>
      <c r="F10" s="132">
        <f>+G7</f>
        <v>143.25</v>
      </c>
      <c r="G10" s="88">
        <f>F10*E10*D10</f>
        <v>0</v>
      </c>
      <c r="I10" s="88">
        <f>+F10</f>
        <v>143.25</v>
      </c>
      <c r="J10" s="88">
        <f>I10*E10*D10</f>
        <v>0</v>
      </c>
      <c r="Y10" s="373" t="s">
        <v>637</v>
      </c>
      <c r="Z10" s="368">
        <v>7</v>
      </c>
      <c r="AA10" s="50"/>
      <c r="AB10" s="50"/>
    </row>
    <row r="11" spans="1:28">
      <c r="A11" s="111"/>
      <c r="B11" s="65"/>
      <c r="C11" s="65"/>
      <c r="D11" s="574" t="s">
        <v>464</v>
      </c>
      <c r="E11" s="574"/>
      <c r="F11" s="574"/>
      <c r="G11" s="92">
        <f>+G10</f>
        <v>0</v>
      </c>
      <c r="J11" s="93">
        <f>+J10</f>
        <v>0</v>
      </c>
      <c r="Y11" s="373" t="s">
        <v>638</v>
      </c>
      <c r="Z11" s="368">
        <v>8</v>
      </c>
      <c r="AA11" s="50"/>
      <c r="AB11" s="50"/>
    </row>
    <row r="12" spans="1:28">
      <c r="A12" s="111"/>
      <c r="B12" s="65"/>
      <c r="C12" s="65"/>
      <c r="Y12" s="373" t="s">
        <v>639</v>
      </c>
      <c r="Z12" s="368">
        <v>9</v>
      </c>
      <c r="AA12" s="50"/>
      <c r="AB12" s="50"/>
    </row>
    <row r="13" spans="1:28">
      <c r="A13" s="572" t="s">
        <v>432</v>
      </c>
      <c r="B13" s="573"/>
      <c r="C13" s="63"/>
      <c r="D13" s="49" t="s">
        <v>465</v>
      </c>
      <c r="E13" s="49" t="s">
        <v>460</v>
      </c>
      <c r="F13" s="127" t="s">
        <v>626</v>
      </c>
      <c r="G13" s="51" t="s">
        <v>462</v>
      </c>
      <c r="I13" s="81" t="s">
        <v>447</v>
      </c>
      <c r="J13" s="81" t="s">
        <v>463</v>
      </c>
      <c r="L13" s="361" t="s">
        <v>504</v>
      </c>
      <c r="Y13" s="373" t="s">
        <v>640</v>
      </c>
      <c r="Z13" s="368">
        <v>10</v>
      </c>
      <c r="AA13" s="50"/>
      <c r="AB13" s="50"/>
    </row>
    <row r="14" spans="1:28">
      <c r="A14" s="45">
        <v>1</v>
      </c>
      <c r="B14" s="69" t="s">
        <v>4</v>
      </c>
      <c r="C14" s="69"/>
      <c r="D14" s="101"/>
      <c r="E14" s="101">
        <f t="shared" ref="E14:E19" si="0">$B$6</f>
        <v>4</v>
      </c>
      <c r="F14" s="48">
        <f>VLOOKUP(A14,'Precios oferta'!$A$6:$U$18,$B$5,FALSE)</f>
        <v>2627977.6200999999</v>
      </c>
      <c r="G14" s="48">
        <f>+D14*E14*F14</f>
        <v>0</v>
      </c>
      <c r="I14" s="48">
        <f>+'Costo adq'!C10</f>
        <v>2409077</v>
      </c>
      <c r="J14" s="48">
        <f>I14*E14*D14</f>
        <v>0</v>
      </c>
      <c r="L14" s="48">
        <f>VLOOKUP(A14,'Precios piso'!$A$6:$U$18,$B$5,FALSE)</f>
        <v>2627977.6200999999</v>
      </c>
      <c r="Y14" s="373" t="s">
        <v>641</v>
      </c>
      <c r="Z14" s="368">
        <v>11</v>
      </c>
      <c r="AA14" s="50"/>
      <c r="AB14" s="50"/>
    </row>
    <row r="15" spans="1:28">
      <c r="A15" s="45">
        <v>2</v>
      </c>
      <c r="B15" s="69" t="s">
        <v>5</v>
      </c>
      <c r="C15" s="69"/>
      <c r="D15" s="101">
        <v>34</v>
      </c>
      <c r="E15" s="101">
        <f t="shared" si="0"/>
        <v>4</v>
      </c>
      <c r="F15" s="48">
        <f>VLOOKUP(A15,'Precios oferta'!$A$6:$U$18,$B$5,FALSE)</f>
        <v>2465868.3651000001</v>
      </c>
      <c r="G15" s="48">
        <f t="shared" ref="G15:G26" si="1">+D15*E15*F15</f>
        <v>335358097.65359998</v>
      </c>
      <c r="I15" s="48">
        <f>+'Costo adq'!C11</f>
        <v>2048005</v>
      </c>
      <c r="J15" s="48">
        <f t="shared" ref="J15:J26" si="2">I15*E15*D15</f>
        <v>278528680</v>
      </c>
      <c r="L15" s="48">
        <f>VLOOKUP(A15,'Precios piso'!$A$6:$U$18,$B$5,FALSE)</f>
        <v>2465868.3651000001</v>
      </c>
      <c r="Y15" s="373" t="s">
        <v>642</v>
      </c>
      <c r="Z15" s="368">
        <v>12</v>
      </c>
      <c r="AA15" s="50"/>
      <c r="AB15" s="50"/>
    </row>
    <row r="16" spans="1:28">
      <c r="A16" s="45">
        <v>3</v>
      </c>
      <c r="B16" s="69" t="s">
        <v>6</v>
      </c>
      <c r="C16" s="69"/>
      <c r="D16" s="101">
        <v>3</v>
      </c>
      <c r="E16" s="101">
        <f t="shared" si="0"/>
        <v>4</v>
      </c>
      <c r="F16" s="48">
        <f>VLOOKUP(A16,'Precios oferta'!$A$6:$U$18,$B$5,FALSE)</f>
        <v>2465868.3651000001</v>
      </c>
      <c r="G16" s="48">
        <f t="shared" si="1"/>
        <v>29590420.381200001</v>
      </c>
      <c r="I16" s="48">
        <f>+'Costo adq'!C12</f>
        <v>2198005</v>
      </c>
      <c r="J16" s="48">
        <f t="shared" si="2"/>
        <v>26376060</v>
      </c>
      <c r="L16" s="48">
        <f>VLOOKUP(A16,'Precios piso'!$A$6:$U$18,$B$5,FALSE)</f>
        <v>2465868.3651000001</v>
      </c>
      <c r="Q16" s="126"/>
      <c r="Y16" s="373" t="s">
        <v>643</v>
      </c>
      <c r="Z16" s="368">
        <v>13</v>
      </c>
      <c r="AA16" s="50"/>
      <c r="AB16" s="50"/>
    </row>
    <row r="17" spans="1:28">
      <c r="A17" s="45">
        <v>4</v>
      </c>
      <c r="B17" s="69" t="s">
        <v>7</v>
      </c>
      <c r="C17" s="69"/>
      <c r="D17" s="101"/>
      <c r="E17" s="101">
        <f t="shared" si="0"/>
        <v>4</v>
      </c>
      <c r="F17" s="48">
        <f>VLOOKUP(A17,'Precios oferta'!$A$6:$U$18,$B$5,FALSE)</f>
        <v>2465868.3651000001</v>
      </c>
      <c r="G17" s="48">
        <f t="shared" si="1"/>
        <v>0</v>
      </c>
      <c r="I17" s="48">
        <f>+'Costo adq'!C13</f>
        <v>2409077</v>
      </c>
      <c r="J17" s="48">
        <f t="shared" si="2"/>
        <v>0</v>
      </c>
      <c r="L17" s="48">
        <f>VLOOKUP(A17,'Precios piso'!$A$6:$U$18,$B$5,FALSE)</f>
        <v>2465868.3651000001</v>
      </c>
      <c r="Y17" s="373" t="s">
        <v>644</v>
      </c>
      <c r="Z17" s="368">
        <v>14</v>
      </c>
      <c r="AA17" s="50"/>
      <c r="AB17" s="50"/>
    </row>
    <row r="18" spans="1:28">
      <c r="A18" s="45">
        <v>5</v>
      </c>
      <c r="B18" s="69" t="s">
        <v>8</v>
      </c>
      <c r="C18" s="69"/>
      <c r="D18" s="101"/>
      <c r="E18" s="101">
        <f t="shared" si="0"/>
        <v>4</v>
      </c>
      <c r="F18" s="48">
        <f>VLOOKUP(A18,'Precios oferta'!$A$6:$U$18,$B$5,FALSE)</f>
        <v>2465868.3651000001</v>
      </c>
      <c r="G18" s="48">
        <f t="shared" si="1"/>
        <v>0</v>
      </c>
      <c r="I18" s="48">
        <f>+'Costo adq'!C14</f>
        <v>2348005</v>
      </c>
      <c r="J18" s="48">
        <f t="shared" si="2"/>
        <v>0</v>
      </c>
      <c r="L18" s="48">
        <f>VLOOKUP(A18,'Precios piso'!$A$6:$U$18,$B$5,FALSE)</f>
        <v>2465868.3651000001</v>
      </c>
      <c r="Y18" s="373" t="s">
        <v>645</v>
      </c>
      <c r="Z18" s="368">
        <v>15</v>
      </c>
      <c r="AA18" s="50"/>
      <c r="AB18" s="50"/>
    </row>
    <row r="19" spans="1:28">
      <c r="A19" s="45">
        <v>6</v>
      </c>
      <c r="B19" s="69" t="s">
        <v>9</v>
      </c>
      <c r="C19" s="69"/>
      <c r="D19" s="101">
        <v>3</v>
      </c>
      <c r="E19" s="101">
        <f t="shared" si="0"/>
        <v>4</v>
      </c>
      <c r="F19" s="48">
        <f>VLOOKUP(A19,'Precios oferta'!$A$6:$U$18,$B$5,FALSE)</f>
        <v>2465868.3651000001</v>
      </c>
      <c r="G19" s="48">
        <f t="shared" si="1"/>
        <v>29590420.381200001</v>
      </c>
      <c r="I19" s="48">
        <f>+'Costo adq'!C15</f>
        <v>2148005</v>
      </c>
      <c r="J19" s="48"/>
      <c r="L19" s="48">
        <f>VLOOKUP(A19,'Precios piso'!$A$6:$U$18,$B$5,FALSE)</f>
        <v>2465868.3651000001</v>
      </c>
      <c r="Y19" s="373" t="s">
        <v>646</v>
      </c>
      <c r="Z19" s="368">
        <v>16</v>
      </c>
      <c r="AA19" s="50"/>
      <c r="AB19" s="50"/>
    </row>
    <row r="20" spans="1:28" ht="27">
      <c r="A20" s="45">
        <v>7</v>
      </c>
      <c r="B20" s="69" t="s">
        <v>10</v>
      </c>
      <c r="C20" s="69"/>
      <c r="D20" s="101"/>
      <c r="E20" s="101">
        <f t="shared" ref="E20:E26" si="3">$B$6</f>
        <v>4</v>
      </c>
      <c r="F20" s="48">
        <f>VLOOKUP(A20,'Precios oferta'!$A$6:$U$18,$B$5,FALSE)</f>
        <v>2465868.3651000001</v>
      </c>
      <c r="G20" s="48">
        <f t="shared" si="1"/>
        <v>0</v>
      </c>
      <c r="I20" s="48">
        <f>+'Costo adq'!C16</f>
        <v>2248005</v>
      </c>
      <c r="J20" s="48">
        <f t="shared" si="2"/>
        <v>0</v>
      </c>
      <c r="L20" s="48">
        <f>VLOOKUP(A20,'Precios piso'!$A$6:$U$18,$B$5,FALSE)</f>
        <v>2465868.3651000001</v>
      </c>
      <c r="Y20" s="373" t="s">
        <v>647</v>
      </c>
      <c r="Z20" s="368">
        <v>17</v>
      </c>
      <c r="AA20" s="50"/>
      <c r="AB20" s="50"/>
    </row>
    <row r="21" spans="1:28">
      <c r="A21" s="45">
        <v>8</v>
      </c>
      <c r="B21" s="69" t="s">
        <v>11</v>
      </c>
      <c r="C21" s="69"/>
      <c r="D21" s="101"/>
      <c r="E21" s="101">
        <f t="shared" si="3"/>
        <v>4</v>
      </c>
      <c r="F21" s="48">
        <f>VLOOKUP(A21,'Precios oferta'!$A$6:$U$18,$B$5,FALSE)</f>
        <v>2465868.3651000001</v>
      </c>
      <c r="G21" s="48">
        <f t="shared" si="1"/>
        <v>0</v>
      </c>
      <c r="I21" s="48">
        <f>+'Costo adq'!C17</f>
        <v>2459077</v>
      </c>
      <c r="J21" s="48">
        <f t="shared" si="2"/>
        <v>0</v>
      </c>
      <c r="L21" s="48">
        <f>VLOOKUP(A21,'Precios piso'!$A$6:$U$18,$B$5,FALSE)</f>
        <v>2465868.3651000001</v>
      </c>
      <c r="Y21" s="373" t="s">
        <v>648</v>
      </c>
      <c r="Z21" s="368">
        <v>18</v>
      </c>
      <c r="AA21" s="50"/>
      <c r="AB21" s="50"/>
    </row>
    <row r="22" spans="1:28">
      <c r="A22" s="45">
        <v>9</v>
      </c>
      <c r="B22" s="69" t="s">
        <v>12</v>
      </c>
      <c r="C22" s="69"/>
      <c r="D22" s="101"/>
      <c r="E22" s="101">
        <f t="shared" si="3"/>
        <v>4</v>
      </c>
      <c r="F22" s="48">
        <f>VLOOKUP(A22,'Precios oferta'!$A$6:$U$18,$B$5,FALSE)</f>
        <v>2465868.3651000001</v>
      </c>
      <c r="G22" s="48">
        <f t="shared" si="1"/>
        <v>0</v>
      </c>
      <c r="I22" s="48">
        <f>+'Costo adq'!C18</f>
        <v>2198005</v>
      </c>
      <c r="J22" s="48">
        <f t="shared" si="2"/>
        <v>0</v>
      </c>
      <c r="L22" s="48">
        <f>VLOOKUP(A22,'Precios piso'!$A$6:$U$18,$B$5,FALSE)</f>
        <v>2465868.3651000001</v>
      </c>
      <c r="Y22" s="373" t="s">
        <v>649</v>
      </c>
      <c r="Z22" s="368">
        <v>19</v>
      </c>
      <c r="AA22" s="50"/>
      <c r="AB22" s="50"/>
    </row>
    <row r="23" spans="1:28">
      <c r="A23" s="45">
        <v>10</v>
      </c>
      <c r="B23" s="69" t="s">
        <v>13</v>
      </c>
      <c r="C23" s="69"/>
      <c r="D23" s="101"/>
      <c r="E23" s="101">
        <f t="shared" si="3"/>
        <v>4</v>
      </c>
      <c r="F23" s="48">
        <f>VLOOKUP(A23,'Precios oferta'!$A$6:$U$18,$B$5,FALSE)</f>
        <v>2465868.3651000001</v>
      </c>
      <c r="G23" s="48">
        <f t="shared" si="1"/>
        <v>0</v>
      </c>
      <c r="I23" s="48">
        <f>+'Costo adq'!C19</f>
        <v>2348005</v>
      </c>
      <c r="J23" s="48">
        <f t="shared" si="2"/>
        <v>0</v>
      </c>
      <c r="L23" s="48">
        <f>VLOOKUP(A23,'Precios piso'!$A$6:$U$18,$B$5,FALSE)</f>
        <v>2465868.3651000001</v>
      </c>
      <c r="Y23" s="373" t="s">
        <v>650</v>
      </c>
      <c r="Z23" s="368">
        <v>20</v>
      </c>
      <c r="AA23" s="50"/>
      <c r="AB23" s="50"/>
    </row>
    <row r="24" spans="1:28" ht="14.25" thickBot="1">
      <c r="A24" s="45">
        <v>11</v>
      </c>
      <c r="B24" s="69" t="s">
        <v>14</v>
      </c>
      <c r="C24" s="69"/>
      <c r="D24" s="101"/>
      <c r="E24" s="101">
        <f t="shared" si="3"/>
        <v>4</v>
      </c>
      <c r="F24" s="48">
        <f>VLOOKUP(A24,'Precios oferta'!$A$6:$U$18,$B$5,FALSE)</f>
        <v>82195.500100000005</v>
      </c>
      <c r="G24" s="48">
        <f t="shared" si="1"/>
        <v>0</v>
      </c>
      <c r="I24" s="48">
        <f>+'Costo adq'!C20</f>
        <v>73266.833333333328</v>
      </c>
      <c r="J24" s="48">
        <f t="shared" si="2"/>
        <v>0</v>
      </c>
      <c r="L24" s="48">
        <f>VLOOKUP(A24,'Precios piso'!$A$6:$U$18,$B$5,FALSE)</f>
        <v>82195.500100000005</v>
      </c>
      <c r="Y24" s="374" t="s">
        <v>651</v>
      </c>
      <c r="Z24" s="369">
        <v>21</v>
      </c>
      <c r="AA24" s="50"/>
      <c r="AB24" s="50"/>
    </row>
    <row r="25" spans="1:28" ht="27">
      <c r="A25" s="45">
        <v>12</v>
      </c>
      <c r="B25" s="69" t="s">
        <v>15</v>
      </c>
      <c r="C25" s="69"/>
      <c r="D25" s="101"/>
      <c r="E25" s="101">
        <f t="shared" si="3"/>
        <v>4</v>
      </c>
      <c r="F25" s="48">
        <f>VLOOKUP(A25,'Precios oferta'!$A$6:$U$18,$B$5,FALSE)</f>
        <v>82195.500100000005</v>
      </c>
      <c r="G25" s="48">
        <f t="shared" si="1"/>
        <v>0</v>
      </c>
      <c r="I25" s="48">
        <f>+'Costo adq'!C21</f>
        <v>74933.5</v>
      </c>
      <c r="J25" s="48">
        <f t="shared" si="2"/>
        <v>0</v>
      </c>
      <c r="L25" s="48">
        <f>VLOOKUP(A25,'Precios piso'!$A$6:$U$18,$B$5,FALSE)</f>
        <v>82195.500100000005</v>
      </c>
      <c r="AA25" s="50"/>
      <c r="AB25" s="50"/>
    </row>
    <row r="26" spans="1:28">
      <c r="A26" s="45">
        <v>13</v>
      </c>
      <c r="B26" s="69" t="s">
        <v>16</v>
      </c>
      <c r="C26" s="69"/>
      <c r="D26" s="101"/>
      <c r="E26" s="101">
        <f t="shared" si="3"/>
        <v>4</v>
      </c>
      <c r="F26" s="48">
        <f>VLOOKUP(A26,'Precios oferta'!$A$6:$U$18,$B$5,FALSE)</f>
        <v>82195.500100000005</v>
      </c>
      <c r="G26" s="48">
        <f t="shared" si="1"/>
        <v>0</v>
      </c>
      <c r="I26" s="48">
        <f>+'Costo adq'!C22</f>
        <v>78266.833333333328</v>
      </c>
      <c r="J26" s="48">
        <f t="shared" si="2"/>
        <v>0</v>
      </c>
      <c r="L26" s="48">
        <f>VLOOKUP(A26,'Precios piso'!$A$6:$U$18,$B$5,FALSE)</f>
        <v>82195.500100000005</v>
      </c>
      <c r="AA26" s="50"/>
      <c r="AB26" s="50"/>
    </row>
    <row r="27" spans="1:28">
      <c r="A27" s="111"/>
      <c r="B27" s="65"/>
      <c r="C27" s="65"/>
      <c r="G27" s="92">
        <f>SUM(G14:G26)</f>
        <v>394538938.41600001</v>
      </c>
      <c r="J27" s="93">
        <f>SUM(J14:J26)</f>
        <v>304904740</v>
      </c>
      <c r="K27" s="117">
        <f>+G27-J27</f>
        <v>89634198.416000009</v>
      </c>
      <c r="AA27" s="50"/>
      <c r="AB27" s="50"/>
    </row>
    <row r="28" spans="1:28">
      <c r="A28" s="111"/>
      <c r="B28" s="65"/>
      <c r="C28" s="65"/>
      <c r="AA28" s="50"/>
      <c r="AB28" s="50"/>
    </row>
    <row r="29" spans="1:28">
      <c r="A29" s="572" t="s">
        <v>442</v>
      </c>
      <c r="B29" s="573"/>
      <c r="C29" s="63"/>
      <c r="D29" s="49" t="s">
        <v>465</v>
      </c>
      <c r="E29" s="49" t="s">
        <v>460</v>
      </c>
      <c r="F29" s="127" t="s">
        <v>626</v>
      </c>
      <c r="G29" s="51" t="s">
        <v>462</v>
      </c>
      <c r="I29" s="81" t="s">
        <v>447</v>
      </c>
      <c r="J29" s="81" t="s">
        <v>463</v>
      </c>
      <c r="L29" s="361" t="s">
        <v>504</v>
      </c>
      <c r="O29" s="66" t="s">
        <v>472</v>
      </c>
      <c r="AA29" s="50"/>
      <c r="AB29" s="50"/>
    </row>
    <row r="30" spans="1:28">
      <c r="A30" s="45">
        <v>1</v>
      </c>
      <c r="B30" s="69" t="s">
        <v>5</v>
      </c>
      <c r="C30" s="69"/>
      <c r="D30" s="101"/>
      <c r="E30" s="101">
        <f t="shared" ref="E30:E38" si="4">$B$6</f>
        <v>4</v>
      </c>
      <c r="F30" s="48">
        <f>VLOOKUP(A30,'Precios oferta'!$A$20:$U$28,$B$5,FALSE)</f>
        <v>2619737.1129999999</v>
      </c>
      <c r="G30" s="48">
        <f t="shared" ref="G30:G38" si="5">+D30*E30*F30</f>
        <v>0</v>
      </c>
      <c r="I30" s="48">
        <f>+'Costo adq'!C25</f>
        <v>1149165</v>
      </c>
      <c r="J30" s="48">
        <f t="shared" ref="J30:J38" si="6">I30*E30*D30</f>
        <v>0</v>
      </c>
      <c r="L30" s="48">
        <f>VLOOKUP(A30,'Precios piso'!$A$20:$U$28,$B$5,FALSE)</f>
        <v>1578155.1709</v>
      </c>
      <c r="N30" s="73">
        <v>2619737</v>
      </c>
      <c r="O30" s="491">
        <f>1-(L30/N30)</f>
        <v>0.39759022722509929</v>
      </c>
      <c r="AA30" s="50"/>
      <c r="AB30" s="50"/>
    </row>
    <row r="31" spans="1:28">
      <c r="A31" s="45">
        <v>2</v>
      </c>
      <c r="B31" s="69" t="s">
        <v>6</v>
      </c>
      <c r="C31" s="69"/>
      <c r="D31" s="101"/>
      <c r="E31" s="101">
        <f t="shared" si="4"/>
        <v>4</v>
      </c>
      <c r="F31" s="48">
        <f>VLOOKUP(A31,'Precios oferta'!$A$20:$U$28,$B$5,FALSE)</f>
        <v>2534846.3294000002</v>
      </c>
      <c r="G31" s="48">
        <f t="shared" si="5"/>
        <v>0</v>
      </c>
      <c r="I31" s="48">
        <f>+'Costo adq'!C26</f>
        <v>1224165</v>
      </c>
      <c r="J31" s="48">
        <f t="shared" si="6"/>
        <v>0</v>
      </c>
      <c r="L31" s="48">
        <f>VLOOKUP(A31,'Precios piso'!$A$20:$U$28,$B$5,FALSE)</f>
        <v>1527016.5092</v>
      </c>
      <c r="N31" s="73">
        <v>2534846</v>
      </c>
      <c r="O31" s="491">
        <f t="shared" ref="O31:O38" si="7">1-(L31/N31)</f>
        <v>0.3975900274809594</v>
      </c>
      <c r="AA31" s="50"/>
      <c r="AB31" s="50"/>
    </row>
    <row r="32" spans="1:28">
      <c r="A32" s="45">
        <v>3</v>
      </c>
      <c r="B32" s="69" t="s">
        <v>7</v>
      </c>
      <c r="C32" s="69"/>
      <c r="D32" s="101"/>
      <c r="E32" s="101">
        <f t="shared" si="4"/>
        <v>4</v>
      </c>
      <c r="F32" s="48">
        <f>VLOOKUP(A32,'Precios oferta'!$A$20:$U$28,$B$5,FALSE)</f>
        <v>2534846.3294000002</v>
      </c>
      <c r="G32" s="48">
        <f t="shared" si="5"/>
        <v>0</v>
      </c>
      <c r="I32" s="48">
        <f>+'Costo adq'!C27</f>
        <v>1149165</v>
      </c>
      <c r="J32" s="48">
        <f t="shared" si="6"/>
        <v>0</v>
      </c>
      <c r="L32" s="48">
        <f>VLOOKUP(A32,'Precios piso'!$A$20:$U$28,$B$5,FALSE)</f>
        <v>1527016.5092</v>
      </c>
      <c r="N32" s="73">
        <v>2534846</v>
      </c>
      <c r="O32" s="491">
        <f t="shared" si="7"/>
        <v>0.3975900274809594</v>
      </c>
      <c r="AA32" s="50"/>
      <c r="AB32" s="50"/>
    </row>
    <row r="33" spans="1:29">
      <c r="A33" s="45">
        <v>4</v>
      </c>
      <c r="B33" s="69" t="s">
        <v>19</v>
      </c>
      <c r="C33" s="69"/>
      <c r="D33" s="101"/>
      <c r="E33" s="101">
        <f t="shared" si="4"/>
        <v>4</v>
      </c>
      <c r="F33" s="48">
        <f>VLOOKUP(A33,'Precios oferta'!$A$20:$U$28,$B$5,FALSE)</f>
        <v>2619737.1129999999</v>
      </c>
      <c r="G33" s="48">
        <f t="shared" si="5"/>
        <v>0</v>
      </c>
      <c r="I33" s="48">
        <f>+'Costo adq'!C28</f>
        <v>1299165</v>
      </c>
      <c r="J33" s="48">
        <f t="shared" si="6"/>
        <v>0</v>
      </c>
      <c r="L33" s="48">
        <f>VLOOKUP(A33,'Precios piso'!$A$20:$U$28,$B$5,FALSE)</f>
        <v>1578155.1709</v>
      </c>
      <c r="N33" s="73">
        <v>2619737</v>
      </c>
      <c r="O33" s="491">
        <f t="shared" si="7"/>
        <v>0.39759022722509929</v>
      </c>
      <c r="AA33" s="50"/>
      <c r="AB33" s="50"/>
    </row>
    <row r="34" spans="1:29">
      <c r="A34" s="45">
        <v>5</v>
      </c>
      <c r="B34" s="69" t="s">
        <v>9</v>
      </c>
      <c r="C34" s="69"/>
      <c r="D34" s="101"/>
      <c r="E34" s="101">
        <f t="shared" si="4"/>
        <v>4</v>
      </c>
      <c r="F34" s="48">
        <f>VLOOKUP(A34,'Precios oferta'!$A$20:$U$28,$B$5,FALSE)</f>
        <v>2534846.3294000002</v>
      </c>
      <c r="G34" s="48">
        <f t="shared" si="5"/>
        <v>0</v>
      </c>
      <c r="I34" s="48">
        <f>+'Costo adq'!C29</f>
        <v>1199165</v>
      </c>
      <c r="J34" s="48">
        <f t="shared" si="6"/>
        <v>0</v>
      </c>
      <c r="L34" s="48">
        <f>VLOOKUP(A34,'Precios piso'!$A$20:$U$28,$B$5,FALSE)</f>
        <v>1527016.5092</v>
      </c>
      <c r="N34" s="73">
        <v>2534846</v>
      </c>
      <c r="O34" s="491">
        <f t="shared" si="7"/>
        <v>0.3975900274809594</v>
      </c>
      <c r="AA34" s="50"/>
      <c r="AB34" s="50"/>
    </row>
    <row r="35" spans="1:29" ht="27">
      <c r="A35" s="45">
        <v>6</v>
      </c>
      <c r="B35" s="69" t="s">
        <v>438</v>
      </c>
      <c r="C35" s="69"/>
      <c r="D35" s="101"/>
      <c r="E35" s="101">
        <f t="shared" si="4"/>
        <v>4</v>
      </c>
      <c r="F35" s="48">
        <f>VLOOKUP(A35,'Precios oferta'!$A$20:$U$28,$B$5,FALSE)</f>
        <v>2534846.3294000002</v>
      </c>
      <c r="G35" s="48">
        <f t="shared" si="5"/>
        <v>0</v>
      </c>
      <c r="I35" s="48">
        <f>+'Costo adq'!C30</f>
        <v>1249165</v>
      </c>
      <c r="J35" s="48">
        <f t="shared" si="6"/>
        <v>0</v>
      </c>
      <c r="L35" s="48">
        <f>VLOOKUP(A35,'Precios piso'!$A$20:$U$28,$B$5,FALSE)</f>
        <v>1527016.5092</v>
      </c>
      <c r="N35" s="73">
        <v>2534846</v>
      </c>
      <c r="O35" s="491">
        <f t="shared" si="7"/>
        <v>0.3975900274809594</v>
      </c>
      <c r="AA35" s="50"/>
      <c r="AB35" s="50"/>
    </row>
    <row r="36" spans="1:29" ht="27">
      <c r="A36" s="45">
        <v>7</v>
      </c>
      <c r="B36" s="69" t="s">
        <v>439</v>
      </c>
      <c r="C36" s="69"/>
      <c r="D36" s="101"/>
      <c r="E36" s="101">
        <f t="shared" si="4"/>
        <v>4</v>
      </c>
      <c r="F36" s="48">
        <f>VLOOKUP(A36,'Precios oferta'!$A$20:$U$28,$B$5,FALSE)</f>
        <v>2534846.3294000002</v>
      </c>
      <c r="G36" s="48">
        <f t="shared" si="5"/>
        <v>0</v>
      </c>
      <c r="I36" s="48">
        <f>+'Costo adq'!C31</f>
        <v>1174165</v>
      </c>
      <c r="J36" s="48">
        <f t="shared" si="6"/>
        <v>0</v>
      </c>
      <c r="L36" s="48">
        <f>VLOOKUP(A36,'Precios piso'!$A$20:$U$28,$B$5,FALSE)</f>
        <v>1527016.5092</v>
      </c>
      <c r="N36" s="73">
        <v>2534846</v>
      </c>
      <c r="O36" s="491">
        <f t="shared" si="7"/>
        <v>0.3975900274809594</v>
      </c>
      <c r="AA36" s="50"/>
      <c r="AB36" s="50"/>
    </row>
    <row r="37" spans="1:29">
      <c r="A37" s="45">
        <v>8</v>
      </c>
      <c r="B37" s="69" t="s">
        <v>440</v>
      </c>
      <c r="C37" s="69"/>
      <c r="D37" s="101"/>
      <c r="E37" s="101">
        <f t="shared" si="4"/>
        <v>4</v>
      </c>
      <c r="F37" s="48">
        <f>VLOOKUP(A37,'Precios oferta'!$A$20:$U$28,$B$5,FALSE)</f>
        <v>2534846.3294000002</v>
      </c>
      <c r="G37" s="48">
        <f t="shared" si="5"/>
        <v>0</v>
      </c>
      <c r="I37" s="48">
        <f>+'Costo adq'!C32</f>
        <v>1224165</v>
      </c>
      <c r="J37" s="48">
        <f t="shared" si="6"/>
        <v>0</v>
      </c>
      <c r="L37" s="48">
        <f>VLOOKUP(A37,'Precios piso'!$A$20:$U$28,$B$5,FALSE)</f>
        <v>1527016.5092</v>
      </c>
      <c r="N37" s="73">
        <v>2534846</v>
      </c>
      <c r="O37" s="491">
        <f t="shared" si="7"/>
        <v>0.3975900274809594</v>
      </c>
      <c r="AA37" s="50"/>
      <c r="AB37" s="50"/>
    </row>
    <row r="38" spans="1:29">
      <c r="A38" s="45">
        <v>9</v>
      </c>
      <c r="B38" s="69" t="s">
        <v>441</v>
      </c>
      <c r="C38" s="69"/>
      <c r="D38" s="101"/>
      <c r="E38" s="101">
        <f t="shared" si="4"/>
        <v>4</v>
      </c>
      <c r="F38" s="48">
        <f>VLOOKUP(A38,'Precios oferta'!$A$20:$U$28,$B$5,FALSE)</f>
        <v>2490473.3336</v>
      </c>
      <c r="G38" s="48">
        <f t="shared" si="5"/>
        <v>0</v>
      </c>
      <c r="I38" s="48">
        <f>+'Costo adq'!C33</f>
        <v>1299165</v>
      </c>
      <c r="J38" s="48">
        <f t="shared" si="6"/>
        <v>0</v>
      </c>
      <c r="L38" s="48">
        <f>VLOOKUP(A38,'Precios piso'!$A$20:$U$28,$B$5,FALSE)</f>
        <v>1500285.5728</v>
      </c>
      <c r="N38" s="73">
        <v>2490450</v>
      </c>
      <c r="O38" s="491">
        <f t="shared" si="7"/>
        <v>0.39758454383745911</v>
      </c>
      <c r="AA38" s="50"/>
      <c r="AB38" s="50"/>
    </row>
    <row r="39" spans="1:29">
      <c r="G39" s="92">
        <f>SUM(G30:G38)</f>
        <v>0</v>
      </c>
      <c r="J39" s="93">
        <f>SUM(J30:J38)</f>
        <v>0</v>
      </c>
      <c r="K39" s="117">
        <f>+G39-J39</f>
        <v>0</v>
      </c>
      <c r="AA39" s="50"/>
      <c r="AB39" s="50"/>
    </row>
    <row r="40" spans="1:29">
      <c r="D40" s="574" t="s">
        <v>464</v>
      </c>
      <c r="E40" s="574"/>
      <c r="F40" s="574"/>
      <c r="G40" s="92">
        <f>G27+G39</f>
        <v>394538938.41600001</v>
      </c>
      <c r="J40" s="93">
        <f>J27+J39</f>
        <v>304904740</v>
      </c>
      <c r="K40" s="117">
        <f>+G40-J40</f>
        <v>89634198.416000009</v>
      </c>
      <c r="AA40" s="50"/>
      <c r="AB40" s="50"/>
    </row>
    <row r="41" spans="1:29">
      <c r="D41" s="102"/>
      <c r="E41" s="102"/>
      <c r="F41" s="102"/>
      <c r="G41" s="102"/>
      <c r="AA41" s="50"/>
      <c r="AB41" s="50"/>
    </row>
    <row r="42" spans="1:29">
      <c r="A42" s="572" t="s">
        <v>467</v>
      </c>
      <c r="B42" s="573"/>
      <c r="C42" s="118"/>
      <c r="D42" s="102"/>
      <c r="E42" s="102"/>
      <c r="F42" s="102"/>
      <c r="G42" s="102"/>
      <c r="AA42" s="50"/>
      <c r="AB42" s="50"/>
    </row>
    <row r="43" spans="1:29">
      <c r="B43" s="109" t="s">
        <v>468</v>
      </c>
      <c r="C43" s="109"/>
      <c r="D43" s="66"/>
      <c r="E43" s="66"/>
      <c r="F43" s="66"/>
      <c r="G43" s="103">
        <f>+'Costo psonal'!I46</f>
        <v>0</v>
      </c>
      <c r="AA43" s="50"/>
      <c r="AB43" s="50"/>
    </row>
    <row r="44" spans="1:29">
      <c r="D44" s="574" t="s">
        <v>464</v>
      </c>
      <c r="E44" s="574"/>
      <c r="F44" s="574"/>
      <c r="G44" s="92">
        <f>+G43</f>
        <v>0</v>
      </c>
      <c r="I44" s="48">
        <f>'[1]Costo operarios'!I48</f>
        <v>0</v>
      </c>
      <c r="J44" s="93">
        <f>I44</f>
        <v>0</v>
      </c>
      <c r="K44" s="117">
        <f>+G44-J44</f>
        <v>0</v>
      </c>
      <c r="AA44" s="50"/>
      <c r="AB44" s="50"/>
    </row>
    <row r="45" spans="1:29" ht="16.5" customHeight="1" thickBot="1">
      <c r="C45" s="77"/>
      <c r="E45" s="77"/>
      <c r="G45" s="77"/>
      <c r="I45" s="77"/>
      <c r="K45" s="77"/>
      <c r="M45" s="77"/>
      <c r="N45" s="50">
        <v>14</v>
      </c>
      <c r="Q45" s="77"/>
      <c r="R45" s="50">
        <v>16</v>
      </c>
      <c r="S45" s="77"/>
      <c r="T45" s="50">
        <v>18</v>
      </c>
      <c r="AA45" s="50"/>
      <c r="AB45" s="50"/>
    </row>
    <row r="46" spans="1:29" ht="16.5" customHeight="1" thickBot="1">
      <c r="A46" s="575" t="s">
        <v>497</v>
      </c>
      <c r="B46" s="575"/>
      <c r="C46" s="119"/>
      <c r="D46" s="510" t="s">
        <v>1123</v>
      </c>
      <c r="S46" s="370"/>
      <c r="Y46" s="413" t="s">
        <v>1062</v>
      </c>
      <c r="AA46" s="50"/>
      <c r="AB46" s="50"/>
    </row>
    <row r="47" spans="1:29" ht="14.25" thickBot="1">
      <c r="A47" s="572" t="s">
        <v>498</v>
      </c>
      <c r="B47" s="572" t="s">
        <v>443</v>
      </c>
      <c r="C47" s="118"/>
      <c r="W47" s="580" t="s">
        <v>1048</v>
      </c>
      <c r="X47" s="581"/>
      <c r="Y47" s="582"/>
      <c r="AA47" s="50"/>
      <c r="AB47" s="50" t="s">
        <v>1061</v>
      </c>
    </row>
    <row r="48" spans="1:29" ht="14.25" thickBot="1">
      <c r="A48" s="56" t="s">
        <v>445</v>
      </c>
      <c r="B48" s="56" t="s">
        <v>446</v>
      </c>
      <c r="C48" s="56" t="s">
        <v>503</v>
      </c>
      <c r="D48" s="364" t="s">
        <v>465</v>
      </c>
      <c r="E48" s="364" t="s">
        <v>460</v>
      </c>
      <c r="F48" s="49" t="s">
        <v>466</v>
      </c>
      <c r="G48" s="51" t="s">
        <v>462</v>
      </c>
      <c r="I48" s="81" t="s">
        <v>447</v>
      </c>
      <c r="J48" s="81" t="s">
        <v>463</v>
      </c>
      <c r="L48" s="127" t="s">
        <v>469</v>
      </c>
      <c r="M48" s="361" t="s">
        <v>470</v>
      </c>
      <c r="N48" s="361" t="s">
        <v>472</v>
      </c>
      <c r="O48" s="395" t="s">
        <v>1060</v>
      </c>
      <c r="P48" s="396" t="s">
        <v>472</v>
      </c>
      <c r="Q48" s="129" t="s">
        <v>471</v>
      </c>
      <c r="R48" s="129" t="s">
        <v>472</v>
      </c>
      <c r="S48" s="130" t="s">
        <v>500</v>
      </c>
      <c r="T48" s="130" t="s">
        <v>472</v>
      </c>
      <c r="W48" s="385" t="s">
        <v>445</v>
      </c>
      <c r="X48" s="386" t="s">
        <v>446</v>
      </c>
      <c r="Y48" s="384" t="s">
        <v>1050</v>
      </c>
      <c r="Z48" s="400" t="s">
        <v>469</v>
      </c>
      <c r="AA48" s="410" t="str">
        <f>$K$478</f>
        <v>P Piso-25%</v>
      </c>
      <c r="AB48" s="384">
        <f>IF(AA48=$M$48,14,IF(AA48=$O$48,16,IF(AA48=$Q$48,18,IF(AA48=$S$48,20))))</f>
        <v>20</v>
      </c>
      <c r="AC48" s="447" t="s">
        <v>1064</v>
      </c>
    </row>
    <row r="49" spans="1:29">
      <c r="A49" s="67">
        <v>1</v>
      </c>
      <c r="B49" s="74" t="s">
        <v>21</v>
      </c>
      <c r="C49" s="125" t="s">
        <v>365</v>
      </c>
      <c r="D49" s="387">
        <f>VLOOKUP(A49,$W$49:$Y$455,3,FALSE)</f>
        <v>0</v>
      </c>
      <c r="E49" s="104">
        <f t="shared" ref="E49:E112" si="8">$B$6</f>
        <v>4</v>
      </c>
      <c r="F49" s="83">
        <f>IF($K$478=$L$48,L49,IF($K$478=$M$48,M49,IF($K$478=$O$48,O49,IF($K$478=$Q$48,Q49,IF($K$478=$S$48,S49,"ERROR")))))</f>
        <v>7579.6608000000006</v>
      </c>
      <c r="G49" s="83">
        <f>F49*E49*D49</f>
        <v>0</v>
      </c>
      <c r="H49" s="483">
        <f>+F49-S49</f>
        <v>0</v>
      </c>
      <c r="I49" s="83">
        <f>+'Costo adq'!C38*$I$1</f>
        <v>11573.844800000001</v>
      </c>
      <c r="J49" s="83">
        <f>I49*E49*D49</f>
        <v>0</v>
      </c>
      <c r="L49" s="54">
        <f>VLOOKUP(A49,'Precios oferta'!$A$30:$U$436,$B$5,FALSE)</f>
        <v>19531.614399999999</v>
      </c>
      <c r="M49" s="48">
        <f>VLOOKUP(A49,'Precios piso'!$A$30:$U$436,$B$5,FALSE)</f>
        <v>10106.214400000001</v>
      </c>
      <c r="N49" s="388">
        <f>1-(M49/L49)</f>
        <v>0.48257147652884236</v>
      </c>
      <c r="O49" s="131">
        <f t="shared" ref="O49:O112" si="9">+M49-(M49*$N$481)</f>
        <v>8893.4686720000009</v>
      </c>
      <c r="P49" s="388">
        <f>1-(O49/L49)</f>
        <v>0.54466289934538126</v>
      </c>
      <c r="Q49" s="131">
        <f>+M49-(M49*20%)</f>
        <v>8084.971520000001</v>
      </c>
      <c r="R49" s="105">
        <f>1-(Q49/L49)</f>
        <v>0.58605718122307382</v>
      </c>
      <c r="S49" s="131">
        <f>+M49-(M49*25%)</f>
        <v>7579.6608000000006</v>
      </c>
      <c r="T49" s="94">
        <f>1-(S49/L49)</f>
        <v>0.61192860739663169</v>
      </c>
      <c r="V49" s="82"/>
      <c r="W49" s="503">
        <v>1</v>
      </c>
      <c r="X49" s="506" t="s">
        <v>654</v>
      </c>
      <c r="Y49" s="508">
        <v>0</v>
      </c>
      <c r="Z49" s="402">
        <v>0</v>
      </c>
      <c r="AA49" s="406">
        <f>VLOOKUP(W49,$A$49:$T$459,$AB$48,FALSE)</f>
        <v>0.61192860739663169</v>
      </c>
      <c r="AB49" s="411"/>
      <c r="AC49" s="446">
        <v>0.59123055162659122</v>
      </c>
    </row>
    <row r="50" spans="1:29">
      <c r="A50" s="67">
        <v>2</v>
      </c>
      <c r="B50" s="74" t="s">
        <v>22</v>
      </c>
      <c r="C50" s="125" t="s">
        <v>365</v>
      </c>
      <c r="D50" s="387">
        <f>VLOOKUP(A50,$W$49:$Y$455,3,FALSE)</f>
        <v>0</v>
      </c>
      <c r="E50" s="104">
        <f t="shared" si="8"/>
        <v>4</v>
      </c>
      <c r="F50" s="83">
        <f>IF($K$478=$L$48,L50,IF($K$478=$M$48,M50,IF($K$478=$O$48,O50,IF($K$478=$Q$48,Q50,IF($K$478=$S$48,S50,"ERROR")))))</f>
        <v>2096.5367999999999</v>
      </c>
      <c r="G50" s="83">
        <f t="shared" ref="G50:G113" si="10">F50*E50*D50</f>
        <v>0</v>
      </c>
      <c r="H50" s="483">
        <f t="shared" ref="H50:H113" si="11">+F50-S50</f>
        <v>0</v>
      </c>
      <c r="I50" s="83">
        <f>+'Costo adq'!C39*$I$1</f>
        <v>3706.7775999999999</v>
      </c>
      <c r="J50" s="83">
        <f t="shared" ref="J50:J113" si="12">I50*E50*D50</f>
        <v>0</v>
      </c>
      <c r="L50" s="54">
        <f>VLOOKUP(A50,'Precios oferta'!$A$30:$U$436,$B$5,FALSE)</f>
        <v>5736.1072000000004</v>
      </c>
      <c r="M50" s="48">
        <f>VLOOKUP(A50,'Precios piso'!$A$30:$U$436,$B$5,FALSE)</f>
        <v>2795.3824</v>
      </c>
      <c r="N50" s="105">
        <f t="shared" ref="N50:N113" si="13">1-(M50/L50)</f>
        <v>0.51266907982472854</v>
      </c>
      <c r="O50" s="131">
        <f t="shared" si="9"/>
        <v>2459.9365120000002</v>
      </c>
      <c r="P50" s="388">
        <f t="shared" ref="P50:P113" si="14">1-(O50/L50)</f>
        <v>0.57114879024576104</v>
      </c>
      <c r="Q50" s="131">
        <f t="shared" ref="Q50:Q113" si="15">+M50-(M50*20%)</f>
        <v>2236.3059199999998</v>
      </c>
      <c r="R50" s="105">
        <f t="shared" ref="R50:R113" si="16">1-(Q50/L50)</f>
        <v>0.61013526385978289</v>
      </c>
      <c r="S50" s="445">
        <f t="shared" ref="S50:S113" si="17">+M50-(M50*25%)</f>
        <v>2096.5367999999999</v>
      </c>
      <c r="T50" s="444">
        <f t="shared" ref="T50:T113" si="18">1-(S50/L50)</f>
        <v>0.63450180986854643</v>
      </c>
      <c r="V50" s="82"/>
      <c r="W50" s="504">
        <v>2</v>
      </c>
      <c r="X50" s="506" t="s">
        <v>655</v>
      </c>
      <c r="Y50" s="508">
        <v>0</v>
      </c>
      <c r="Z50" s="403">
        <v>0</v>
      </c>
      <c r="AA50" s="407">
        <f t="shared" ref="AA50:AA113" si="19">VLOOKUP(W50,$A$49:$T$459,$AB$48,FALSE)</f>
        <v>0.63450180986854643</v>
      </c>
      <c r="AB50" s="411"/>
      <c r="AC50" s="446"/>
    </row>
    <row r="51" spans="1:29">
      <c r="A51" s="67">
        <v>3</v>
      </c>
      <c r="B51" s="74" t="s">
        <v>23</v>
      </c>
      <c r="C51" s="125" t="s">
        <v>365</v>
      </c>
      <c r="D51" s="387">
        <f t="shared" ref="D51:D113" si="20">VLOOKUP(A51,$W$49:$Y$455,3,FALSE)</f>
        <v>105</v>
      </c>
      <c r="E51" s="104">
        <f t="shared" si="8"/>
        <v>4</v>
      </c>
      <c r="F51" s="83">
        <f t="shared" ref="F51:F114" si="21">IF($K$478=$L$48,L51,IF($K$478=$M$48,M51,IF($K$478=$O$48,O51,IF($K$478=$Q$48,Q51,IF($K$478=$S$48,S51,"ERROR")))))</f>
        <v>4588.9403999999995</v>
      </c>
      <c r="G51" s="83">
        <f t="shared" si="10"/>
        <v>1927354.9679999999</v>
      </c>
      <c r="H51" s="483">
        <f t="shared" si="11"/>
        <v>0</v>
      </c>
      <c r="I51" s="83">
        <f>+'Costo adq'!C40*$I$1</f>
        <v>6963.3216000000002</v>
      </c>
      <c r="J51" s="83">
        <f t="shared" si="12"/>
        <v>2924595.0720000002</v>
      </c>
      <c r="L51" s="54">
        <f>VLOOKUP(A51,'Precios oferta'!$A$30:$U$436,$B$5,FALSE)</f>
        <v>13178.075199999999</v>
      </c>
      <c r="M51" s="48">
        <f>VLOOKUP(A51,'Precios piso'!$A$30:$U$436,$B$5,FALSE)</f>
        <v>6118.5871999999999</v>
      </c>
      <c r="N51" s="105">
        <f t="shared" si="13"/>
        <v>0.53569947756862091</v>
      </c>
      <c r="O51" s="131">
        <f t="shared" si="9"/>
        <v>5384.3567359999997</v>
      </c>
      <c r="P51" s="388">
        <f t="shared" si="14"/>
        <v>0.59141554026038645</v>
      </c>
      <c r="Q51" s="131">
        <f t="shared" si="15"/>
        <v>4894.8697599999996</v>
      </c>
      <c r="R51" s="105">
        <f t="shared" si="16"/>
        <v>0.62855958205489681</v>
      </c>
      <c r="S51" s="131">
        <f t="shared" si="17"/>
        <v>4588.9403999999995</v>
      </c>
      <c r="T51" s="94">
        <f t="shared" si="18"/>
        <v>0.65177460817646571</v>
      </c>
      <c r="V51" s="82"/>
      <c r="W51" s="504">
        <v>3</v>
      </c>
      <c r="X51" s="506" t="s">
        <v>656</v>
      </c>
      <c r="Y51" s="508">
        <v>105</v>
      </c>
      <c r="Z51" s="403">
        <v>0</v>
      </c>
      <c r="AA51" s="407">
        <f t="shared" si="19"/>
        <v>0.65177460817646571</v>
      </c>
      <c r="AB51" s="411"/>
      <c r="AC51" s="446"/>
    </row>
    <row r="52" spans="1:29">
      <c r="A52" s="67">
        <v>4</v>
      </c>
      <c r="B52" s="74" t="s">
        <v>24</v>
      </c>
      <c r="C52" s="125" t="s">
        <v>365</v>
      </c>
      <c r="D52" s="387">
        <f t="shared" si="20"/>
        <v>0</v>
      </c>
      <c r="E52" s="104">
        <f t="shared" si="8"/>
        <v>4</v>
      </c>
      <c r="F52" s="83">
        <f t="shared" si="21"/>
        <v>4171.7640000000001</v>
      </c>
      <c r="G52" s="83">
        <f t="shared" si="10"/>
        <v>0</v>
      </c>
      <c r="H52" s="483">
        <f t="shared" si="11"/>
        <v>0</v>
      </c>
      <c r="I52" s="83">
        <f>+'Costo adq'!C41*$I$1</f>
        <v>6963.3216000000002</v>
      </c>
      <c r="J52" s="83">
        <f t="shared" si="12"/>
        <v>0</v>
      </c>
      <c r="L52" s="54">
        <f>VLOOKUP(A52,'Precios oferta'!$A$30:$U$436,$B$5,FALSE)</f>
        <v>14167.0592</v>
      </c>
      <c r="M52" s="48">
        <f>VLOOKUP(A52,'Precios piso'!$A$30:$U$436,$B$5,FALSE)</f>
        <v>5562.3519999999999</v>
      </c>
      <c r="N52" s="105">
        <f t="shared" si="13"/>
        <v>0.60737426720148102</v>
      </c>
      <c r="O52" s="131">
        <f t="shared" si="9"/>
        <v>4894.8697599999996</v>
      </c>
      <c r="P52" s="388">
        <f t="shared" si="14"/>
        <v>0.65448935513730333</v>
      </c>
      <c r="Q52" s="131">
        <f t="shared" si="15"/>
        <v>4449.8815999999997</v>
      </c>
      <c r="R52" s="105">
        <f t="shared" si="16"/>
        <v>0.68589941376118491</v>
      </c>
      <c r="S52" s="131">
        <f t="shared" si="17"/>
        <v>4171.7640000000001</v>
      </c>
      <c r="T52" s="94">
        <f t="shared" si="18"/>
        <v>0.70553070040111077</v>
      </c>
      <c r="V52" s="82"/>
      <c r="W52" s="504">
        <v>4</v>
      </c>
      <c r="X52" s="506" t="s">
        <v>657</v>
      </c>
      <c r="Y52" s="508">
        <v>0</v>
      </c>
      <c r="Z52" s="403">
        <v>0</v>
      </c>
      <c r="AA52" s="407">
        <f t="shared" si="19"/>
        <v>0.70553070040111077</v>
      </c>
      <c r="AB52" s="411"/>
      <c r="AC52" s="446"/>
    </row>
    <row r="53" spans="1:29">
      <c r="A53" s="67">
        <v>5</v>
      </c>
      <c r="B53" s="74" t="s">
        <v>25</v>
      </c>
      <c r="C53" s="125" t="s">
        <v>365</v>
      </c>
      <c r="D53" s="387">
        <f t="shared" si="20"/>
        <v>0</v>
      </c>
      <c r="E53" s="104">
        <f t="shared" si="8"/>
        <v>4</v>
      </c>
      <c r="F53" s="83">
        <f t="shared" si="21"/>
        <v>1512.9816000000001</v>
      </c>
      <c r="G53" s="83">
        <f t="shared" si="10"/>
        <v>0</v>
      </c>
      <c r="H53" s="483">
        <f t="shared" si="11"/>
        <v>0</v>
      </c>
      <c r="I53" s="83">
        <f>+'Costo adq'!C42*$I$1</f>
        <v>2404.16</v>
      </c>
      <c r="J53" s="83">
        <f t="shared" si="12"/>
        <v>0</v>
      </c>
      <c r="L53" s="54">
        <f>VLOOKUP(A53,'Precios oferta'!$A$30:$U$436,$B$5,FALSE)</f>
        <v>4079.4223999999999</v>
      </c>
      <c r="M53" s="48">
        <f>VLOOKUP(A53,'Precios piso'!$A$30:$U$436,$B$5,FALSE)</f>
        <v>2017.3088</v>
      </c>
      <c r="N53" s="105">
        <f t="shared" si="13"/>
        <v>0.50549156174658449</v>
      </c>
      <c r="O53" s="131">
        <f t="shared" si="9"/>
        <v>1775.2317439999999</v>
      </c>
      <c r="P53" s="388">
        <f t="shared" si="14"/>
        <v>0.56483257433699441</v>
      </c>
      <c r="Q53" s="131">
        <f t="shared" si="15"/>
        <v>1613.8470400000001</v>
      </c>
      <c r="R53" s="105">
        <f t="shared" si="16"/>
        <v>0.60439324939726757</v>
      </c>
      <c r="S53" s="131">
        <f t="shared" si="17"/>
        <v>1512.9816000000001</v>
      </c>
      <c r="T53" s="94">
        <f t="shared" si="18"/>
        <v>0.62911867130993837</v>
      </c>
      <c r="V53" s="82"/>
      <c r="W53" s="504">
        <v>5</v>
      </c>
      <c r="X53" s="506" t="s">
        <v>658</v>
      </c>
      <c r="Y53" s="508">
        <v>0</v>
      </c>
      <c r="Z53" s="403">
        <v>0</v>
      </c>
      <c r="AA53" s="407">
        <f t="shared" si="19"/>
        <v>0.62911867130993837</v>
      </c>
      <c r="AB53" s="411"/>
      <c r="AC53" s="446"/>
    </row>
    <row r="54" spans="1:29">
      <c r="A54" s="67">
        <v>6</v>
      </c>
      <c r="B54" s="74" t="s">
        <v>26</v>
      </c>
      <c r="C54" s="125" t="s">
        <v>365</v>
      </c>
      <c r="D54" s="387">
        <f t="shared" si="20"/>
        <v>0</v>
      </c>
      <c r="E54" s="104">
        <f t="shared" si="8"/>
        <v>4</v>
      </c>
      <c r="F54" s="83">
        <f t="shared" si="21"/>
        <v>1483.4760000000001</v>
      </c>
      <c r="G54" s="83">
        <f t="shared" si="10"/>
        <v>0</v>
      </c>
      <c r="H54" s="483">
        <f t="shared" si="11"/>
        <v>0</v>
      </c>
      <c r="I54" s="83">
        <f>+'Costo adq'!C43*$I$1</f>
        <v>2404.16</v>
      </c>
      <c r="J54" s="83">
        <f t="shared" si="12"/>
        <v>0</v>
      </c>
      <c r="L54" s="54">
        <f>VLOOKUP(A54,'Precios oferta'!$A$30:$U$436,$B$5,FALSE)</f>
        <v>4994.0959999999995</v>
      </c>
      <c r="M54" s="48">
        <f>VLOOKUP(A54,'Precios piso'!$A$30:$U$436,$B$5,FALSE)</f>
        <v>1977.9680000000001</v>
      </c>
      <c r="N54" s="105">
        <f t="shared" si="13"/>
        <v>0.60393873085339167</v>
      </c>
      <c r="O54" s="131">
        <f t="shared" si="9"/>
        <v>1740.61184</v>
      </c>
      <c r="P54" s="388">
        <f t="shared" si="14"/>
        <v>0.65146608315098464</v>
      </c>
      <c r="Q54" s="131">
        <f t="shared" si="15"/>
        <v>1582.3744000000002</v>
      </c>
      <c r="R54" s="105">
        <f t="shared" si="16"/>
        <v>0.68315098468271329</v>
      </c>
      <c r="S54" s="131">
        <f t="shared" si="17"/>
        <v>1483.4760000000001</v>
      </c>
      <c r="T54" s="94">
        <f t="shared" si="18"/>
        <v>0.7029540481400437</v>
      </c>
      <c r="V54" s="82"/>
      <c r="W54" s="504">
        <v>6</v>
      </c>
      <c r="X54" s="506" t="s">
        <v>659</v>
      </c>
      <c r="Y54" s="508">
        <v>0</v>
      </c>
      <c r="Z54" s="403">
        <v>0</v>
      </c>
      <c r="AA54" s="407">
        <f t="shared" si="19"/>
        <v>0.7029540481400437</v>
      </c>
      <c r="AB54" s="411"/>
      <c r="AC54" s="446">
        <v>0.66666666666666674</v>
      </c>
    </row>
    <row r="55" spans="1:29">
      <c r="A55" s="67">
        <v>7</v>
      </c>
      <c r="B55" s="74" t="s">
        <v>27</v>
      </c>
      <c r="C55" s="125" t="s">
        <v>365</v>
      </c>
      <c r="D55" s="387">
        <f t="shared" si="20"/>
        <v>0</v>
      </c>
      <c r="E55" s="104">
        <f t="shared" si="8"/>
        <v>4</v>
      </c>
      <c r="F55" s="83">
        <f t="shared" si="21"/>
        <v>2498.9603999999999</v>
      </c>
      <c r="G55" s="83">
        <f t="shared" si="10"/>
        <v>0</v>
      </c>
      <c r="H55" s="483">
        <f t="shared" si="11"/>
        <v>0</v>
      </c>
      <c r="I55" s="83">
        <f>+'Costo adq'!C44*$I$1</f>
        <v>2388.8607999999999</v>
      </c>
      <c r="J55" s="83">
        <f t="shared" si="12"/>
        <v>0</v>
      </c>
      <c r="L55" s="54">
        <f>VLOOKUP(A55,'Precios oferta'!$A$30:$U$436,$B$5,FALSE)</f>
        <v>5538.3104000000003</v>
      </c>
      <c r="M55" s="48">
        <f>VLOOKUP(A55,'Precios piso'!$A$30:$U$436,$B$5,FALSE)</f>
        <v>3331.9472000000001</v>
      </c>
      <c r="N55" s="105">
        <f t="shared" si="13"/>
        <v>0.39838200473559593</v>
      </c>
      <c r="O55" s="131">
        <f t="shared" si="9"/>
        <v>2932.1135359999998</v>
      </c>
      <c r="P55" s="388">
        <f t="shared" si="14"/>
        <v>0.4705761641673244</v>
      </c>
      <c r="Q55" s="131">
        <f t="shared" si="15"/>
        <v>2665.5577600000001</v>
      </c>
      <c r="R55" s="105">
        <f t="shared" si="16"/>
        <v>0.51870560378847674</v>
      </c>
      <c r="S55" s="131">
        <f t="shared" si="17"/>
        <v>2498.9603999999999</v>
      </c>
      <c r="T55" s="94">
        <f t="shared" si="18"/>
        <v>0.548786503551697</v>
      </c>
      <c r="V55" s="82"/>
      <c r="W55" s="504">
        <v>7</v>
      </c>
      <c r="X55" s="506" t="s">
        <v>660</v>
      </c>
      <c r="Y55" s="508">
        <v>0</v>
      </c>
      <c r="Z55" s="403">
        <v>0</v>
      </c>
      <c r="AA55" s="407">
        <f t="shared" si="19"/>
        <v>0.548786503551697</v>
      </c>
      <c r="AB55" s="411"/>
      <c r="AC55" s="446"/>
    </row>
    <row r="56" spans="1:29">
      <c r="A56" s="67">
        <v>8</v>
      </c>
      <c r="B56" s="74" t="s">
        <v>28</v>
      </c>
      <c r="C56" s="125" t="s">
        <v>365</v>
      </c>
      <c r="D56" s="387">
        <f t="shared" si="20"/>
        <v>0</v>
      </c>
      <c r="E56" s="104">
        <f t="shared" si="8"/>
        <v>4</v>
      </c>
      <c r="F56" s="83">
        <f t="shared" si="21"/>
        <v>1563.7967999999998</v>
      </c>
      <c r="G56" s="83">
        <f t="shared" si="10"/>
        <v>0</v>
      </c>
      <c r="H56" s="483">
        <f t="shared" si="11"/>
        <v>0</v>
      </c>
      <c r="I56" s="83">
        <f>+'Costo adq'!C45*$I$1</f>
        <v>1803.12</v>
      </c>
      <c r="J56" s="83">
        <f t="shared" si="12"/>
        <v>0</v>
      </c>
      <c r="L56" s="54">
        <f>VLOOKUP(A56,'Precios oferta'!$A$30:$U$436,$B$5,FALSE)</f>
        <v>5254.1823999999997</v>
      </c>
      <c r="M56" s="48">
        <f>VLOOKUP(A56,'Precios piso'!$A$30:$U$436,$B$5,FALSE)</f>
        <v>2085.0623999999998</v>
      </c>
      <c r="N56" s="105">
        <f t="shared" si="13"/>
        <v>0.6031613976705491</v>
      </c>
      <c r="O56" s="131">
        <f t="shared" si="9"/>
        <v>1834.8549119999998</v>
      </c>
      <c r="P56" s="388">
        <f t="shared" si="14"/>
        <v>0.65078202995008327</v>
      </c>
      <c r="Q56" s="131">
        <f t="shared" si="15"/>
        <v>1668.0499199999999</v>
      </c>
      <c r="R56" s="105">
        <f t="shared" si="16"/>
        <v>0.68252911813643924</v>
      </c>
      <c r="S56" s="131">
        <f t="shared" si="17"/>
        <v>1563.7967999999998</v>
      </c>
      <c r="T56" s="94">
        <f t="shared" si="18"/>
        <v>0.70237104825291174</v>
      </c>
      <c r="V56" s="82"/>
      <c r="W56" s="504">
        <v>8</v>
      </c>
      <c r="X56" s="506" t="s">
        <v>661</v>
      </c>
      <c r="Y56" s="508">
        <v>0</v>
      </c>
      <c r="Z56" s="403">
        <v>0</v>
      </c>
      <c r="AA56" s="407">
        <f t="shared" si="19"/>
        <v>0.70237104825291174</v>
      </c>
      <c r="AB56" s="411"/>
      <c r="AC56" s="446"/>
    </row>
    <row r="57" spans="1:29">
      <c r="A57" s="67">
        <v>9</v>
      </c>
      <c r="B57" s="74" t="s">
        <v>29</v>
      </c>
      <c r="C57" s="125" t="s">
        <v>365</v>
      </c>
      <c r="D57" s="387">
        <f t="shared" si="20"/>
        <v>0</v>
      </c>
      <c r="E57" s="104">
        <f t="shared" si="8"/>
        <v>4</v>
      </c>
      <c r="F57" s="83">
        <f t="shared" si="21"/>
        <v>25960.010399999999</v>
      </c>
      <c r="G57" s="83">
        <f t="shared" si="10"/>
        <v>0</v>
      </c>
      <c r="H57" s="483">
        <f t="shared" si="11"/>
        <v>0</v>
      </c>
      <c r="I57" s="83">
        <f>+'Costo adq'!C46*$I$1</f>
        <v>40418.300799999997</v>
      </c>
      <c r="J57" s="83">
        <f t="shared" si="12"/>
        <v>0</v>
      </c>
      <c r="L57" s="54">
        <f>VLOOKUP(A57,'Precios oferta'!$A$30:$U$436,$B$5,FALSE)</f>
        <v>121466.9056</v>
      </c>
      <c r="M57" s="48">
        <f>VLOOKUP(A57,'Precios piso'!$A$30:$U$436,$B$5,FALSE)</f>
        <v>34613.347199999997</v>
      </c>
      <c r="N57" s="105">
        <f t="shared" si="13"/>
        <v>0.71503886569742336</v>
      </c>
      <c r="O57" s="131">
        <f t="shared" si="9"/>
        <v>30459.745535999995</v>
      </c>
      <c r="P57" s="388">
        <f t="shared" si="14"/>
        <v>0.74923420181373257</v>
      </c>
      <c r="Q57" s="131">
        <f t="shared" si="15"/>
        <v>27690.677759999999</v>
      </c>
      <c r="R57" s="105">
        <f t="shared" si="16"/>
        <v>0.77203109255793867</v>
      </c>
      <c r="S57" s="131">
        <f t="shared" si="17"/>
        <v>25960.010399999999</v>
      </c>
      <c r="T57" s="94">
        <f t="shared" si="18"/>
        <v>0.78627914927306752</v>
      </c>
      <c r="V57" s="82"/>
      <c r="W57" s="504">
        <v>9</v>
      </c>
      <c r="X57" s="506" t="s">
        <v>662</v>
      </c>
      <c r="Y57" s="508">
        <v>0</v>
      </c>
      <c r="Z57" s="403">
        <v>0</v>
      </c>
      <c r="AA57" s="407">
        <f t="shared" si="19"/>
        <v>0.78627914927306752</v>
      </c>
      <c r="AB57" s="411"/>
      <c r="AC57" s="446"/>
    </row>
    <row r="58" spans="1:29">
      <c r="A58" s="67">
        <v>10</v>
      </c>
      <c r="B58" s="74" t="s">
        <v>30</v>
      </c>
      <c r="C58" s="125" t="s">
        <v>365</v>
      </c>
      <c r="D58" s="387">
        <f t="shared" si="20"/>
        <v>0</v>
      </c>
      <c r="E58" s="104">
        <f t="shared" si="8"/>
        <v>4</v>
      </c>
      <c r="F58" s="83">
        <f t="shared" si="21"/>
        <v>1623.6276</v>
      </c>
      <c r="G58" s="83">
        <f t="shared" si="10"/>
        <v>0</v>
      </c>
      <c r="H58" s="483">
        <f t="shared" si="11"/>
        <v>0</v>
      </c>
      <c r="I58" s="83">
        <f>+'Costo adq'!C47*$I$1</f>
        <v>3511.1664000000001</v>
      </c>
      <c r="J58" s="83">
        <f t="shared" si="12"/>
        <v>0</v>
      </c>
      <c r="L58" s="54">
        <f>VLOOKUP(A58,'Precios oferta'!$A$30:$U$436,$B$5,FALSE)</f>
        <v>6008.2143999999998</v>
      </c>
      <c r="M58" s="48">
        <f>VLOOKUP(A58,'Precios piso'!$A$30:$U$436,$B$5,FALSE)</f>
        <v>2164.8368</v>
      </c>
      <c r="N58" s="105">
        <f t="shared" si="13"/>
        <v>0.6396871589668971</v>
      </c>
      <c r="O58" s="131">
        <f t="shared" si="9"/>
        <v>1905.056384</v>
      </c>
      <c r="P58" s="388">
        <f t="shared" si="14"/>
        <v>0.68292469989086935</v>
      </c>
      <c r="Q58" s="131">
        <f t="shared" si="15"/>
        <v>1731.8694399999999</v>
      </c>
      <c r="R58" s="105">
        <f t="shared" si="16"/>
        <v>0.71174972717351759</v>
      </c>
      <c r="S58" s="131">
        <f t="shared" si="17"/>
        <v>1623.6276</v>
      </c>
      <c r="T58" s="94">
        <f t="shared" si="18"/>
        <v>0.72976536922517277</v>
      </c>
      <c r="V58" s="82"/>
      <c r="W58" s="504">
        <v>10</v>
      </c>
      <c r="X58" s="506" t="s">
        <v>663</v>
      </c>
      <c r="Y58" s="508">
        <v>0</v>
      </c>
      <c r="Z58" s="403">
        <v>0</v>
      </c>
      <c r="AA58" s="407">
        <f t="shared" si="19"/>
        <v>0.72976536922517277</v>
      </c>
      <c r="AB58" s="411"/>
      <c r="AC58" s="446"/>
    </row>
    <row r="59" spans="1:29">
      <c r="A59" s="67">
        <v>11</v>
      </c>
      <c r="B59" s="74" t="s">
        <v>31</v>
      </c>
      <c r="C59" s="125" t="s">
        <v>365</v>
      </c>
      <c r="D59" s="387">
        <f t="shared" si="20"/>
        <v>0</v>
      </c>
      <c r="E59" s="104">
        <f t="shared" si="8"/>
        <v>4</v>
      </c>
      <c r="F59" s="83">
        <f t="shared" si="21"/>
        <v>1205.6316000000002</v>
      </c>
      <c r="G59" s="83">
        <f t="shared" si="10"/>
        <v>0</v>
      </c>
      <c r="H59" s="483">
        <f t="shared" si="11"/>
        <v>0</v>
      </c>
      <c r="I59" s="83">
        <f>+'Costo adq'!C48*$I$1</f>
        <v>9493.1535999999996</v>
      </c>
      <c r="J59" s="83">
        <f t="shared" si="12"/>
        <v>0</v>
      </c>
      <c r="L59" s="54">
        <f>VLOOKUP(A59,'Precios oferta'!$A$30:$U$436,$B$5,FALSE)</f>
        <v>14364.856</v>
      </c>
      <c r="M59" s="48">
        <f>VLOOKUP(A59,'Precios piso'!$A$30:$U$436,$B$5,FALSE)</f>
        <v>1607.5088000000001</v>
      </c>
      <c r="N59" s="105">
        <f t="shared" si="13"/>
        <v>0.88809433244579683</v>
      </c>
      <c r="O59" s="131">
        <f t="shared" si="9"/>
        <v>1414.6077440000001</v>
      </c>
      <c r="P59" s="388">
        <f t="shared" si="14"/>
        <v>0.90152301255230127</v>
      </c>
      <c r="Q59" s="131">
        <f t="shared" si="15"/>
        <v>1286.00704</v>
      </c>
      <c r="R59" s="105">
        <f t="shared" si="16"/>
        <v>0.91047546595663753</v>
      </c>
      <c r="S59" s="131">
        <f t="shared" si="17"/>
        <v>1205.6316000000002</v>
      </c>
      <c r="T59" s="94">
        <f t="shared" si="18"/>
        <v>0.91607074933434762</v>
      </c>
      <c r="V59" s="82"/>
      <c r="W59" s="504">
        <v>11</v>
      </c>
      <c r="X59" s="506" t="s">
        <v>664</v>
      </c>
      <c r="Y59" s="508">
        <v>0</v>
      </c>
      <c r="Z59" s="403">
        <v>0</v>
      </c>
      <c r="AA59" s="407">
        <f t="shared" si="19"/>
        <v>0.91607074933434762</v>
      </c>
      <c r="AB59" s="411"/>
      <c r="AC59" s="446"/>
    </row>
    <row r="60" spans="1:29">
      <c r="A60" s="67">
        <v>12</v>
      </c>
      <c r="B60" s="74" t="s">
        <v>32</v>
      </c>
      <c r="C60" s="125" t="s">
        <v>365</v>
      </c>
      <c r="D60" s="387">
        <f t="shared" si="20"/>
        <v>80</v>
      </c>
      <c r="E60" s="104">
        <f t="shared" si="8"/>
        <v>4</v>
      </c>
      <c r="F60" s="83">
        <f t="shared" si="21"/>
        <v>5074.9632000000001</v>
      </c>
      <c r="G60" s="83">
        <f t="shared" si="10"/>
        <v>1623988.2239999999</v>
      </c>
      <c r="H60" s="483">
        <f t="shared" si="11"/>
        <v>0</v>
      </c>
      <c r="I60" s="83">
        <f>+'Costo adq'!C49*$I$1</f>
        <v>9753.24</v>
      </c>
      <c r="J60" s="83">
        <f t="shared" si="12"/>
        <v>3121036.8</v>
      </c>
      <c r="L60" s="54">
        <f>VLOOKUP(A60,'Precios oferta'!$A$30:$U$436,$B$5,FALSE)</f>
        <v>16466.310399999998</v>
      </c>
      <c r="M60" s="48">
        <f>VLOOKUP(A60,'Precios piso'!$A$30:$U$436,$B$5,FALSE)</f>
        <v>6766.6175999999996</v>
      </c>
      <c r="N60" s="105">
        <f t="shared" si="13"/>
        <v>0.58906291478630202</v>
      </c>
      <c r="O60" s="131">
        <f t="shared" si="9"/>
        <v>5954.6234879999993</v>
      </c>
      <c r="P60" s="388">
        <f t="shared" si="14"/>
        <v>0.63837536501194592</v>
      </c>
      <c r="Q60" s="131">
        <f t="shared" si="15"/>
        <v>5413.2940799999997</v>
      </c>
      <c r="R60" s="105">
        <f t="shared" si="16"/>
        <v>0.6712503318290417</v>
      </c>
      <c r="S60" s="131">
        <f t="shared" si="17"/>
        <v>5074.9632000000001</v>
      </c>
      <c r="T60" s="94">
        <f t="shared" si="18"/>
        <v>0.69179718608972651</v>
      </c>
      <c r="V60" s="82"/>
      <c r="W60" s="504">
        <v>12</v>
      </c>
      <c r="X60" s="506" t="s">
        <v>665</v>
      </c>
      <c r="Y60" s="508">
        <v>80</v>
      </c>
      <c r="Z60" s="403">
        <v>0</v>
      </c>
      <c r="AA60" s="407">
        <f t="shared" si="19"/>
        <v>0.69179718608972651</v>
      </c>
      <c r="AB60" s="411"/>
      <c r="AC60" s="446"/>
    </row>
    <row r="61" spans="1:29">
      <c r="A61" s="67">
        <v>13</v>
      </c>
      <c r="B61" s="74" t="s">
        <v>33</v>
      </c>
      <c r="C61" s="125" t="s">
        <v>365</v>
      </c>
      <c r="D61" s="387">
        <f t="shared" si="20"/>
        <v>0</v>
      </c>
      <c r="E61" s="104">
        <f t="shared" si="8"/>
        <v>4</v>
      </c>
      <c r="F61" s="83">
        <f t="shared" si="21"/>
        <v>10831.013999999999</v>
      </c>
      <c r="G61" s="83">
        <f t="shared" si="10"/>
        <v>0</v>
      </c>
      <c r="H61" s="483">
        <f t="shared" si="11"/>
        <v>0</v>
      </c>
      <c r="I61" s="83">
        <f>+'Costo adq'!C50*$I$1</f>
        <v>22090.952000000001</v>
      </c>
      <c r="J61" s="83">
        <f t="shared" si="12"/>
        <v>0</v>
      </c>
      <c r="L61" s="54">
        <f>VLOOKUP(A61,'Precios oferta'!$A$30:$U$436,$B$5,FALSE)</f>
        <v>44341.452799999999</v>
      </c>
      <c r="M61" s="48">
        <f>VLOOKUP(A61,'Precios piso'!$A$30:$U$436,$B$5,FALSE)</f>
        <v>14441.351999999999</v>
      </c>
      <c r="N61" s="105">
        <f t="shared" si="13"/>
        <v>0.67431486593059931</v>
      </c>
      <c r="O61" s="131">
        <f t="shared" si="9"/>
        <v>12708.389759999998</v>
      </c>
      <c r="P61" s="388">
        <f t="shared" si="14"/>
        <v>0.71339708201892749</v>
      </c>
      <c r="Q61" s="131">
        <f t="shared" si="15"/>
        <v>11553.0816</v>
      </c>
      <c r="R61" s="105">
        <f t="shared" si="16"/>
        <v>0.73945189274447953</v>
      </c>
      <c r="S61" s="131">
        <f t="shared" si="17"/>
        <v>10831.013999999999</v>
      </c>
      <c r="T61" s="94">
        <f t="shared" si="18"/>
        <v>0.75573614944794953</v>
      </c>
      <c r="V61" s="82"/>
      <c r="W61" s="504">
        <v>13</v>
      </c>
      <c r="X61" s="506" t="s">
        <v>666</v>
      </c>
      <c r="Y61" s="508">
        <v>0</v>
      </c>
      <c r="Z61" s="403">
        <v>0</v>
      </c>
      <c r="AA61" s="407">
        <f t="shared" si="19"/>
        <v>0.75573614944794953</v>
      </c>
      <c r="AB61" s="411"/>
      <c r="AC61" s="446"/>
    </row>
    <row r="62" spans="1:29">
      <c r="A62" s="67">
        <v>14</v>
      </c>
      <c r="B62" s="74" t="s">
        <v>34</v>
      </c>
      <c r="C62" s="125" t="s">
        <v>365</v>
      </c>
      <c r="D62" s="387">
        <f t="shared" si="20"/>
        <v>0</v>
      </c>
      <c r="E62" s="104">
        <f t="shared" si="8"/>
        <v>4</v>
      </c>
      <c r="F62" s="83">
        <f t="shared" si="21"/>
        <v>3928.3427999999999</v>
      </c>
      <c r="G62" s="83">
        <f t="shared" si="10"/>
        <v>0</v>
      </c>
      <c r="H62" s="483">
        <f t="shared" si="11"/>
        <v>0</v>
      </c>
      <c r="I62" s="83">
        <f>+'Costo adq'!C51*$I$1</f>
        <v>22090.952000000001</v>
      </c>
      <c r="J62" s="83">
        <f t="shared" si="12"/>
        <v>0</v>
      </c>
      <c r="L62" s="54">
        <f>VLOOKUP(A62,'Precios oferta'!$A$30:$U$436,$B$5,FALSE)</f>
        <v>39421.667199999996</v>
      </c>
      <c r="M62" s="48">
        <f>VLOOKUP(A62,'Precios piso'!$A$30:$U$436,$B$5,FALSE)</f>
        <v>5237.7903999999999</v>
      </c>
      <c r="N62" s="105">
        <f t="shared" si="13"/>
        <v>0.86713422409491603</v>
      </c>
      <c r="O62" s="131">
        <f t="shared" si="9"/>
        <v>4609.2555519999996</v>
      </c>
      <c r="P62" s="388">
        <f t="shared" si="14"/>
        <v>0.88307811720352603</v>
      </c>
      <c r="Q62" s="131">
        <f t="shared" si="15"/>
        <v>4190.2323200000001</v>
      </c>
      <c r="R62" s="105">
        <f t="shared" si="16"/>
        <v>0.8937073792759328</v>
      </c>
      <c r="S62" s="131">
        <f t="shared" si="17"/>
        <v>3928.3427999999999</v>
      </c>
      <c r="T62" s="94">
        <f t="shared" si="18"/>
        <v>0.90035066807118702</v>
      </c>
      <c r="V62" s="82"/>
      <c r="W62" s="504">
        <v>14</v>
      </c>
      <c r="X62" s="506" t="s">
        <v>667</v>
      </c>
      <c r="Y62" s="508">
        <v>0</v>
      </c>
      <c r="Z62" s="403">
        <v>0</v>
      </c>
      <c r="AA62" s="407">
        <f t="shared" si="19"/>
        <v>0.90035066807118702</v>
      </c>
      <c r="AB62" s="411"/>
      <c r="AC62" s="446"/>
    </row>
    <row r="63" spans="1:29">
      <c r="A63" s="67">
        <v>15</v>
      </c>
      <c r="B63" s="74" t="s">
        <v>35</v>
      </c>
      <c r="C63" s="125" t="s">
        <v>365</v>
      </c>
      <c r="D63" s="387">
        <f t="shared" si="20"/>
        <v>80</v>
      </c>
      <c r="E63" s="104">
        <f t="shared" si="8"/>
        <v>4</v>
      </c>
      <c r="F63" s="83">
        <f t="shared" si="21"/>
        <v>4402.0715999999993</v>
      </c>
      <c r="G63" s="83">
        <f t="shared" si="10"/>
        <v>1408662.9119999998</v>
      </c>
      <c r="H63" s="483">
        <f t="shared" si="11"/>
        <v>0</v>
      </c>
      <c r="I63" s="83">
        <f>+'Costo adq'!C52*$I$1</f>
        <v>8452.8079999999991</v>
      </c>
      <c r="J63" s="83">
        <f t="shared" si="12"/>
        <v>2704898.5599999996</v>
      </c>
      <c r="L63" s="54">
        <f>VLOOKUP(A63,'Precios oferta'!$A$30:$U$436,$B$5,FALSE)</f>
        <v>15044.577600000001</v>
      </c>
      <c r="M63" s="48">
        <f>VLOOKUP(A63,'Precios piso'!$A$30:$U$436,$B$5,FALSE)</f>
        <v>5869.4287999999997</v>
      </c>
      <c r="N63" s="105">
        <f t="shared" si="13"/>
        <v>0.60986416793782239</v>
      </c>
      <c r="O63" s="131">
        <f t="shared" si="9"/>
        <v>5165.0973439999998</v>
      </c>
      <c r="P63" s="388">
        <f t="shared" si="14"/>
        <v>0.65668046778528366</v>
      </c>
      <c r="Q63" s="131">
        <f t="shared" si="15"/>
        <v>4695.5430399999996</v>
      </c>
      <c r="R63" s="105">
        <f t="shared" si="16"/>
        <v>0.68789133435025795</v>
      </c>
      <c r="S63" s="131">
        <f t="shared" si="17"/>
        <v>4402.0715999999993</v>
      </c>
      <c r="T63" s="94">
        <f t="shared" si="18"/>
        <v>0.70739812595336682</v>
      </c>
      <c r="V63" s="82"/>
      <c r="W63" s="504">
        <v>15</v>
      </c>
      <c r="X63" s="506" t="s">
        <v>668</v>
      </c>
      <c r="Y63" s="508">
        <v>80</v>
      </c>
      <c r="Z63" s="403">
        <v>0</v>
      </c>
      <c r="AA63" s="407">
        <f t="shared" si="19"/>
        <v>0.70739812595336682</v>
      </c>
      <c r="AB63" s="411"/>
      <c r="AC63" s="446">
        <v>0.69061059907834099</v>
      </c>
    </row>
    <row r="64" spans="1:29">
      <c r="A64" s="67">
        <v>16</v>
      </c>
      <c r="B64" s="74" t="s">
        <v>36</v>
      </c>
      <c r="C64" s="125" t="s">
        <v>365</v>
      </c>
      <c r="D64" s="387">
        <f t="shared" si="20"/>
        <v>0</v>
      </c>
      <c r="E64" s="104">
        <f t="shared" si="8"/>
        <v>4</v>
      </c>
      <c r="F64" s="83">
        <f t="shared" si="21"/>
        <v>1558.8791999999999</v>
      </c>
      <c r="G64" s="83">
        <f t="shared" si="10"/>
        <v>0</v>
      </c>
      <c r="H64" s="483">
        <f t="shared" si="11"/>
        <v>0</v>
      </c>
      <c r="I64" s="83">
        <f>+'Costo adq'!C53*$I$1</f>
        <v>3381.1232</v>
      </c>
      <c r="J64" s="83">
        <f t="shared" si="12"/>
        <v>0</v>
      </c>
      <c r="L64" s="54">
        <f>VLOOKUP(A64,'Precios oferta'!$A$30:$U$436,$B$5,FALSE)</f>
        <v>5489.1343999999999</v>
      </c>
      <c r="M64" s="48">
        <f>VLOOKUP(A64,'Precios piso'!$A$30:$U$436,$B$5,FALSE)</f>
        <v>2078.5056</v>
      </c>
      <c r="N64" s="105">
        <f t="shared" si="13"/>
        <v>0.62134182759307188</v>
      </c>
      <c r="O64" s="131">
        <f t="shared" si="9"/>
        <v>1829.084928</v>
      </c>
      <c r="P64" s="388">
        <f t="shared" si="14"/>
        <v>0.66678080828190323</v>
      </c>
      <c r="Q64" s="131">
        <f t="shared" si="15"/>
        <v>1662.80448</v>
      </c>
      <c r="R64" s="105">
        <f t="shared" si="16"/>
        <v>0.69707346207445742</v>
      </c>
      <c r="S64" s="131">
        <f t="shared" si="17"/>
        <v>1558.8791999999999</v>
      </c>
      <c r="T64" s="94">
        <f t="shared" si="18"/>
        <v>0.71600637069480388</v>
      </c>
      <c r="V64" s="82"/>
      <c r="W64" s="504">
        <v>16</v>
      </c>
      <c r="X64" s="506" t="s">
        <v>669</v>
      </c>
      <c r="Y64" s="508">
        <v>0</v>
      </c>
      <c r="Z64" s="403">
        <v>0</v>
      </c>
      <c r="AA64" s="407">
        <f t="shared" si="19"/>
        <v>0.71600637069480388</v>
      </c>
      <c r="AB64" s="411"/>
      <c r="AC64" s="446"/>
    </row>
    <row r="65" spans="1:29">
      <c r="A65" s="67">
        <v>17</v>
      </c>
      <c r="B65" s="74" t="s">
        <v>37</v>
      </c>
      <c r="C65" s="125" t="s">
        <v>365</v>
      </c>
      <c r="D65" s="387">
        <f t="shared" si="20"/>
        <v>0</v>
      </c>
      <c r="E65" s="104">
        <f t="shared" si="8"/>
        <v>4</v>
      </c>
      <c r="F65" s="83">
        <f t="shared" si="21"/>
        <v>1390.0416</v>
      </c>
      <c r="G65" s="83">
        <f t="shared" si="10"/>
        <v>0</v>
      </c>
      <c r="H65" s="483">
        <f t="shared" si="11"/>
        <v>0</v>
      </c>
      <c r="I65" s="83">
        <f>+'Costo adq'!C54*$I$1</f>
        <v>2340.7775999999999</v>
      </c>
      <c r="J65" s="83">
        <f t="shared" si="12"/>
        <v>0</v>
      </c>
      <c r="L65" s="54">
        <f>VLOOKUP(A65,'Precios oferta'!$A$30:$U$436,$B$5,FALSE)</f>
        <v>4326.3951999999999</v>
      </c>
      <c r="M65" s="48">
        <f>VLOOKUP(A65,'Precios piso'!$A$30:$U$436,$B$5,FALSE)</f>
        <v>1853.3887999999999</v>
      </c>
      <c r="N65" s="105">
        <f t="shared" si="13"/>
        <v>0.57160899216973982</v>
      </c>
      <c r="O65" s="131">
        <f t="shared" si="9"/>
        <v>1630.9821440000001</v>
      </c>
      <c r="P65" s="388">
        <f t="shared" si="14"/>
        <v>0.6230159131093711</v>
      </c>
      <c r="Q65" s="131">
        <f t="shared" si="15"/>
        <v>1482.7110399999999</v>
      </c>
      <c r="R65" s="105">
        <f t="shared" si="16"/>
        <v>0.65728719373579181</v>
      </c>
      <c r="S65" s="131">
        <f t="shared" si="17"/>
        <v>1390.0416</v>
      </c>
      <c r="T65" s="94">
        <f t="shared" si="18"/>
        <v>0.67870674412730492</v>
      </c>
      <c r="V65" s="82"/>
      <c r="W65" s="504">
        <v>17</v>
      </c>
      <c r="X65" s="506" t="s">
        <v>670</v>
      </c>
      <c r="Y65" s="508">
        <v>0</v>
      </c>
      <c r="Z65" s="403">
        <v>0</v>
      </c>
      <c r="AA65" s="407">
        <f t="shared" si="19"/>
        <v>0.67870674412730492</v>
      </c>
      <c r="AB65" s="411"/>
      <c r="AC65" s="446"/>
    </row>
    <row r="66" spans="1:29">
      <c r="A66" s="67">
        <v>18</v>
      </c>
      <c r="B66" s="74" t="s">
        <v>38</v>
      </c>
      <c r="C66" s="125" t="s">
        <v>365</v>
      </c>
      <c r="D66" s="387">
        <f t="shared" si="20"/>
        <v>0</v>
      </c>
      <c r="E66" s="104">
        <f t="shared" si="8"/>
        <v>4</v>
      </c>
      <c r="F66" s="83">
        <f t="shared" si="21"/>
        <v>4629.9204</v>
      </c>
      <c r="G66" s="83">
        <f t="shared" si="10"/>
        <v>0</v>
      </c>
      <c r="H66" s="483">
        <f t="shared" si="11"/>
        <v>0</v>
      </c>
      <c r="I66" s="83">
        <f>+'Costo adq'!C55*$I$1</f>
        <v>8062.6783999999998</v>
      </c>
      <c r="J66" s="83">
        <f t="shared" si="12"/>
        <v>0</v>
      </c>
      <c r="L66" s="54">
        <f>VLOOKUP(A66,'Precios oferta'!$A$30:$U$436,$B$5,FALSE)</f>
        <v>16466.310399999998</v>
      </c>
      <c r="M66" s="48">
        <f>VLOOKUP(A66,'Precios piso'!$A$30:$U$436,$B$5,FALSE)</f>
        <v>6173.2272000000003</v>
      </c>
      <c r="N66" s="105">
        <f t="shared" si="13"/>
        <v>0.62509954871250328</v>
      </c>
      <c r="O66" s="131">
        <f t="shared" si="9"/>
        <v>5432.4399360000007</v>
      </c>
      <c r="P66" s="388">
        <f t="shared" si="14"/>
        <v>0.67008760286700286</v>
      </c>
      <c r="Q66" s="131">
        <f t="shared" si="15"/>
        <v>4938.58176</v>
      </c>
      <c r="R66" s="105">
        <f t="shared" si="16"/>
        <v>0.70007963897000258</v>
      </c>
      <c r="S66" s="131">
        <f t="shared" si="17"/>
        <v>4629.9204</v>
      </c>
      <c r="T66" s="94">
        <f t="shared" si="18"/>
        <v>0.71882466153437741</v>
      </c>
      <c r="V66" s="82"/>
      <c r="W66" s="504">
        <v>18</v>
      </c>
      <c r="X66" s="506" t="s">
        <v>671</v>
      </c>
      <c r="Y66" s="508">
        <v>0</v>
      </c>
      <c r="Z66" s="403">
        <v>0</v>
      </c>
      <c r="AA66" s="407">
        <f t="shared" si="19"/>
        <v>0.71882466153437741</v>
      </c>
      <c r="AB66" s="411"/>
      <c r="AC66" s="446"/>
    </row>
    <row r="67" spans="1:29">
      <c r="A67" s="67">
        <v>19</v>
      </c>
      <c r="B67" s="74" t="s">
        <v>39</v>
      </c>
      <c r="C67" s="125" t="s">
        <v>365</v>
      </c>
      <c r="D67" s="387">
        <f t="shared" si="20"/>
        <v>80</v>
      </c>
      <c r="E67" s="104">
        <f t="shared" si="8"/>
        <v>4</v>
      </c>
      <c r="F67" s="83">
        <f t="shared" si="21"/>
        <v>5618.3580000000002</v>
      </c>
      <c r="G67" s="83">
        <f t="shared" si="10"/>
        <v>1797874.56</v>
      </c>
      <c r="H67" s="483">
        <f t="shared" si="11"/>
        <v>0</v>
      </c>
      <c r="I67" s="83">
        <f>+'Costo adq'!C56*$I$1</f>
        <v>8712.8943999999992</v>
      </c>
      <c r="J67" s="83">
        <f t="shared" si="12"/>
        <v>2788126.2079999996</v>
      </c>
      <c r="L67" s="54">
        <f>VLOOKUP(A67,'Precios oferta'!$A$30:$U$436,$B$5,FALSE)</f>
        <v>16268.5136</v>
      </c>
      <c r="M67" s="48">
        <f>VLOOKUP(A67,'Precios piso'!$A$30:$U$436,$B$5,FALSE)</f>
        <v>7491.1440000000002</v>
      </c>
      <c r="N67" s="105">
        <f t="shared" si="13"/>
        <v>0.53953113454692014</v>
      </c>
      <c r="O67" s="131">
        <f t="shared" si="9"/>
        <v>6592.2067200000001</v>
      </c>
      <c r="P67" s="388">
        <f t="shared" si="14"/>
        <v>0.59478739840128969</v>
      </c>
      <c r="Q67" s="131">
        <f t="shared" si="15"/>
        <v>5992.9152000000004</v>
      </c>
      <c r="R67" s="105">
        <f t="shared" si="16"/>
        <v>0.63162490763753609</v>
      </c>
      <c r="S67" s="131">
        <f t="shared" si="17"/>
        <v>5618.3580000000002</v>
      </c>
      <c r="T67" s="94">
        <f t="shared" si="18"/>
        <v>0.65464835091019014</v>
      </c>
      <c r="V67" s="82"/>
      <c r="W67" s="504">
        <v>19</v>
      </c>
      <c r="X67" s="506" t="s">
        <v>672</v>
      </c>
      <c r="Y67" s="508">
        <v>80</v>
      </c>
      <c r="Z67" s="403">
        <v>0</v>
      </c>
      <c r="AA67" s="407">
        <f t="shared" si="19"/>
        <v>0.65464835091019014</v>
      </c>
      <c r="AB67" s="411"/>
      <c r="AC67" s="446">
        <v>0.64042173730591689</v>
      </c>
    </row>
    <row r="68" spans="1:29">
      <c r="A68" s="67">
        <v>20</v>
      </c>
      <c r="B68" s="74" t="s">
        <v>40</v>
      </c>
      <c r="C68" s="125" t="s">
        <v>365</v>
      </c>
      <c r="D68" s="387">
        <f t="shared" si="20"/>
        <v>0</v>
      </c>
      <c r="E68" s="104">
        <f t="shared" si="8"/>
        <v>4</v>
      </c>
      <c r="F68" s="83">
        <f t="shared" si="21"/>
        <v>6973.1568000000007</v>
      </c>
      <c r="G68" s="83">
        <f t="shared" si="10"/>
        <v>0</v>
      </c>
      <c r="H68" s="483">
        <f t="shared" si="11"/>
        <v>0</v>
      </c>
      <c r="I68" s="83">
        <f>+'Costo adq'!C57*$I$1</f>
        <v>8062.6783999999998</v>
      </c>
      <c r="J68" s="83">
        <f t="shared" si="12"/>
        <v>0</v>
      </c>
      <c r="L68" s="54">
        <f>VLOOKUP(A68,'Precios oferta'!$A$30:$U$436,$B$5,FALSE)</f>
        <v>16750.438399999999</v>
      </c>
      <c r="M68" s="48">
        <f>VLOOKUP(A68,'Precios piso'!$A$30:$U$436,$B$5,FALSE)</f>
        <v>9297.5424000000003</v>
      </c>
      <c r="N68" s="105">
        <f t="shared" si="13"/>
        <v>0.44493736951983298</v>
      </c>
      <c r="O68" s="131">
        <f t="shared" si="9"/>
        <v>8181.8373120000006</v>
      </c>
      <c r="P68" s="388">
        <f t="shared" si="14"/>
        <v>0.51154488517745289</v>
      </c>
      <c r="Q68" s="131">
        <f t="shared" si="15"/>
        <v>7438.0339199999999</v>
      </c>
      <c r="R68" s="105">
        <f t="shared" si="16"/>
        <v>0.55594989561586639</v>
      </c>
      <c r="S68" s="131">
        <f t="shared" si="17"/>
        <v>6973.1568000000007</v>
      </c>
      <c r="T68" s="94">
        <f t="shared" si="18"/>
        <v>0.58370302713987465</v>
      </c>
      <c r="V68" s="82"/>
      <c r="W68" s="504">
        <v>20</v>
      </c>
      <c r="X68" s="506" t="s">
        <v>673</v>
      </c>
      <c r="Y68" s="508">
        <v>0</v>
      </c>
      <c r="Z68" s="403">
        <v>0</v>
      </c>
      <c r="AA68" s="407">
        <f t="shared" si="19"/>
        <v>0.58370302713987465</v>
      </c>
      <c r="AB68" s="411"/>
      <c r="AC68" s="446"/>
    </row>
    <row r="69" spans="1:29">
      <c r="A69" s="67">
        <v>21</v>
      </c>
      <c r="B69" s="74" t="s">
        <v>41</v>
      </c>
      <c r="C69" s="125" t="s">
        <v>365</v>
      </c>
      <c r="D69" s="387">
        <f t="shared" si="20"/>
        <v>88</v>
      </c>
      <c r="E69" s="104">
        <f t="shared" si="8"/>
        <v>4</v>
      </c>
      <c r="F69" s="83">
        <f t="shared" si="21"/>
        <v>3575.0951999999997</v>
      </c>
      <c r="G69" s="83">
        <f t="shared" si="10"/>
        <v>1258433.5104</v>
      </c>
      <c r="H69" s="483">
        <f t="shared" si="11"/>
        <v>0</v>
      </c>
      <c r="I69" s="83">
        <f>+'Costo adq'!C58*$I$1</f>
        <v>4767.8864000000003</v>
      </c>
      <c r="J69" s="83">
        <f t="shared" si="12"/>
        <v>1678296.0128000001</v>
      </c>
      <c r="L69" s="54">
        <f>VLOOKUP(A69,'Precios oferta'!$A$30:$U$436,$B$5,FALSE)</f>
        <v>9876.7263999999996</v>
      </c>
      <c r="M69" s="48">
        <f>VLOOKUP(A69,'Precios piso'!$A$30:$U$436,$B$5,FALSE)</f>
        <v>4766.7936</v>
      </c>
      <c r="N69" s="105">
        <f t="shared" si="13"/>
        <v>0.51737109980084095</v>
      </c>
      <c r="O69" s="131">
        <f t="shared" si="9"/>
        <v>4194.7783680000002</v>
      </c>
      <c r="P69" s="388">
        <f t="shared" si="14"/>
        <v>0.57528656782473997</v>
      </c>
      <c r="Q69" s="131">
        <f t="shared" si="15"/>
        <v>3813.4348799999998</v>
      </c>
      <c r="R69" s="105">
        <f t="shared" si="16"/>
        <v>0.61389687984067276</v>
      </c>
      <c r="S69" s="131">
        <f t="shared" si="17"/>
        <v>3575.0951999999997</v>
      </c>
      <c r="T69" s="94">
        <f t="shared" si="18"/>
        <v>0.63802832485063066</v>
      </c>
      <c r="V69" s="82"/>
      <c r="W69" s="504">
        <v>21</v>
      </c>
      <c r="X69" s="506" t="s">
        <v>674</v>
      </c>
      <c r="Y69" s="508">
        <v>88</v>
      </c>
      <c r="Z69" s="403">
        <v>0</v>
      </c>
      <c r="AA69" s="407">
        <f t="shared" si="19"/>
        <v>0.63802832485063066</v>
      </c>
      <c r="AB69" s="411"/>
      <c r="AC69" s="446">
        <v>0.6329805893358279</v>
      </c>
    </row>
    <row r="70" spans="1:29">
      <c r="A70" s="67">
        <v>22</v>
      </c>
      <c r="B70" s="74" t="s">
        <v>42</v>
      </c>
      <c r="C70" s="125" t="s">
        <v>365</v>
      </c>
      <c r="D70" s="387">
        <f t="shared" si="20"/>
        <v>76</v>
      </c>
      <c r="E70" s="104">
        <f t="shared" si="8"/>
        <v>4</v>
      </c>
      <c r="F70" s="83">
        <f t="shared" si="21"/>
        <v>4468.4592000000002</v>
      </c>
      <c r="G70" s="83">
        <f t="shared" si="10"/>
        <v>1358411.5968000002</v>
      </c>
      <c r="H70" s="483">
        <f t="shared" si="11"/>
        <v>0</v>
      </c>
      <c r="I70" s="83">
        <f>+'Costo adq'!C59*$I$1</f>
        <v>8062.6783999999998</v>
      </c>
      <c r="J70" s="83">
        <f t="shared" si="12"/>
        <v>2451054.2335999999</v>
      </c>
      <c r="L70" s="54">
        <f>VLOOKUP(A70,'Precios oferta'!$A$30:$U$436,$B$5,FALSE)</f>
        <v>14463.208000000001</v>
      </c>
      <c r="M70" s="48">
        <f>VLOOKUP(A70,'Precios piso'!$A$30:$U$436,$B$5,FALSE)</f>
        <v>5957.9456</v>
      </c>
      <c r="N70" s="105">
        <f t="shared" si="13"/>
        <v>0.58806195693237628</v>
      </c>
      <c r="O70" s="131">
        <f t="shared" si="9"/>
        <v>5242.9921279999999</v>
      </c>
      <c r="P70" s="388">
        <f t="shared" si="14"/>
        <v>0.63749452210049107</v>
      </c>
      <c r="Q70" s="131">
        <f t="shared" si="15"/>
        <v>4766.3564800000004</v>
      </c>
      <c r="R70" s="105">
        <f t="shared" si="16"/>
        <v>0.67044956554590107</v>
      </c>
      <c r="S70" s="131">
        <f t="shared" si="17"/>
        <v>4468.4592000000002</v>
      </c>
      <c r="T70" s="94">
        <f t="shared" si="18"/>
        <v>0.69104646769928224</v>
      </c>
      <c r="V70" s="82"/>
      <c r="W70" s="504">
        <v>22</v>
      </c>
      <c r="X70" s="506" t="s">
        <v>675</v>
      </c>
      <c r="Y70" s="508">
        <v>76</v>
      </c>
      <c r="Z70" s="403">
        <v>0</v>
      </c>
      <c r="AA70" s="407">
        <f t="shared" si="19"/>
        <v>0.69104646769928224</v>
      </c>
      <c r="AB70" s="411"/>
      <c r="AC70" s="446"/>
    </row>
    <row r="71" spans="1:29">
      <c r="A71" s="67">
        <v>23</v>
      </c>
      <c r="B71" s="74" t="s">
        <v>43</v>
      </c>
      <c r="C71" s="125" t="s">
        <v>365</v>
      </c>
      <c r="D71" s="387">
        <f t="shared" si="20"/>
        <v>0</v>
      </c>
      <c r="E71" s="104">
        <f t="shared" si="8"/>
        <v>4</v>
      </c>
      <c r="F71" s="83">
        <f t="shared" si="21"/>
        <v>2125.2228</v>
      </c>
      <c r="G71" s="83">
        <f t="shared" si="10"/>
        <v>0</v>
      </c>
      <c r="H71" s="483">
        <f t="shared" si="11"/>
        <v>0</v>
      </c>
      <c r="I71" s="83">
        <f>+'Costo adq'!C60*$I$1</f>
        <v>2600.864</v>
      </c>
      <c r="J71" s="83">
        <f t="shared" si="12"/>
        <v>0</v>
      </c>
      <c r="L71" s="54">
        <f>VLOOKUP(A71,'Precios oferta'!$A$30:$U$436,$B$5,FALSE)</f>
        <v>5736.1072000000004</v>
      </c>
      <c r="M71" s="48">
        <f>VLOOKUP(A71,'Precios piso'!$A$30:$U$436,$B$5,FALSE)</f>
        <v>2833.6304</v>
      </c>
      <c r="N71" s="105">
        <f t="shared" si="13"/>
        <v>0.50600114307487143</v>
      </c>
      <c r="O71" s="131">
        <f t="shared" si="9"/>
        <v>2493.594752</v>
      </c>
      <c r="P71" s="388">
        <f t="shared" si="14"/>
        <v>0.56528100590588681</v>
      </c>
      <c r="Q71" s="131">
        <f t="shared" si="15"/>
        <v>2266.9043200000001</v>
      </c>
      <c r="R71" s="105">
        <f t="shared" si="16"/>
        <v>0.60480091445989714</v>
      </c>
      <c r="S71" s="131">
        <f t="shared" si="17"/>
        <v>2125.2228</v>
      </c>
      <c r="T71" s="94">
        <f t="shared" si="18"/>
        <v>0.62950085730615357</v>
      </c>
      <c r="V71" s="82"/>
      <c r="W71" s="504">
        <v>23</v>
      </c>
      <c r="X71" s="506" t="s">
        <v>676</v>
      </c>
      <c r="Y71" s="508">
        <v>0</v>
      </c>
      <c r="Z71" s="403">
        <v>0</v>
      </c>
      <c r="AA71" s="407">
        <f t="shared" si="19"/>
        <v>0.62950085730615357</v>
      </c>
      <c r="AB71" s="411"/>
      <c r="AC71" s="446"/>
    </row>
    <row r="72" spans="1:29">
      <c r="A72" s="67">
        <v>24</v>
      </c>
      <c r="B72" s="74" t="s">
        <v>44</v>
      </c>
      <c r="C72" s="125" t="s">
        <v>365</v>
      </c>
      <c r="D72" s="387">
        <f t="shared" si="20"/>
        <v>0</v>
      </c>
      <c r="E72" s="104">
        <f t="shared" si="8"/>
        <v>4</v>
      </c>
      <c r="F72" s="83">
        <f t="shared" si="21"/>
        <v>1408.8924000000002</v>
      </c>
      <c r="G72" s="83">
        <f t="shared" si="10"/>
        <v>0</v>
      </c>
      <c r="H72" s="483">
        <f t="shared" si="11"/>
        <v>0</v>
      </c>
      <c r="I72" s="83">
        <f>+'Costo adq'!C61*$I$1</f>
        <v>2406.3456000000001</v>
      </c>
      <c r="J72" s="83">
        <f t="shared" si="12"/>
        <v>0</v>
      </c>
      <c r="L72" s="54">
        <f>VLOOKUP(A72,'Precios oferta'!$A$30:$U$436,$B$5,FALSE)</f>
        <v>4314.3743999999997</v>
      </c>
      <c r="M72" s="48">
        <f>VLOOKUP(A72,'Precios piso'!$A$30:$U$436,$B$5,FALSE)</f>
        <v>1878.5232000000001</v>
      </c>
      <c r="N72" s="105">
        <f t="shared" si="13"/>
        <v>0.56458966565349544</v>
      </c>
      <c r="O72" s="131">
        <f t="shared" si="9"/>
        <v>1653.100416</v>
      </c>
      <c r="P72" s="388">
        <f t="shared" si="14"/>
        <v>0.61683890577507594</v>
      </c>
      <c r="Q72" s="131">
        <f t="shared" si="15"/>
        <v>1502.8185600000002</v>
      </c>
      <c r="R72" s="105">
        <f t="shared" si="16"/>
        <v>0.65167173252279631</v>
      </c>
      <c r="S72" s="131">
        <f t="shared" si="17"/>
        <v>1408.8924000000002</v>
      </c>
      <c r="T72" s="94">
        <f t="shared" si="18"/>
        <v>0.67344224924012153</v>
      </c>
      <c r="V72" s="82"/>
      <c r="W72" s="504">
        <v>24</v>
      </c>
      <c r="X72" s="506" t="s">
        <v>677</v>
      </c>
      <c r="Y72" s="508">
        <v>0</v>
      </c>
      <c r="Z72" s="403">
        <v>0</v>
      </c>
      <c r="AA72" s="407">
        <f t="shared" si="19"/>
        <v>0.67344224924012153</v>
      </c>
      <c r="AB72" s="411"/>
      <c r="AC72" s="446"/>
    </row>
    <row r="73" spans="1:29" ht="25.5">
      <c r="A73" s="67">
        <v>25</v>
      </c>
      <c r="B73" s="74" t="s">
        <v>367</v>
      </c>
      <c r="C73" s="125" t="s">
        <v>365</v>
      </c>
      <c r="D73" s="387">
        <f t="shared" si="20"/>
        <v>0</v>
      </c>
      <c r="E73" s="104">
        <f t="shared" si="8"/>
        <v>4</v>
      </c>
      <c r="F73" s="83">
        <f t="shared" si="21"/>
        <v>4021.7772</v>
      </c>
      <c r="G73" s="83">
        <f t="shared" si="10"/>
        <v>0</v>
      </c>
      <c r="H73" s="483">
        <f t="shared" si="11"/>
        <v>0</v>
      </c>
      <c r="I73" s="83">
        <f>+'Costo adq'!C62*$I$1</f>
        <v>8393.7968000000001</v>
      </c>
      <c r="J73" s="83">
        <f t="shared" si="12"/>
        <v>0</v>
      </c>
      <c r="L73" s="54">
        <f>VLOOKUP(A73,'Precios oferta'!$A$30:$U$436,$B$5,FALSE)</f>
        <v>20669.2192</v>
      </c>
      <c r="M73" s="48">
        <f>VLOOKUP(A73,'Precios piso'!$A$30:$U$436,$B$5,FALSE)</f>
        <v>5362.3696</v>
      </c>
      <c r="N73" s="105">
        <f t="shared" si="13"/>
        <v>0.74056254626202811</v>
      </c>
      <c r="O73" s="131">
        <f t="shared" si="9"/>
        <v>4718.8852480000005</v>
      </c>
      <c r="P73" s="388">
        <f t="shared" si="14"/>
        <v>0.7716950407105847</v>
      </c>
      <c r="Q73" s="131">
        <f t="shared" si="15"/>
        <v>4289.8956799999996</v>
      </c>
      <c r="R73" s="105">
        <f t="shared" si="16"/>
        <v>0.79245003700962258</v>
      </c>
      <c r="S73" s="131">
        <f t="shared" si="17"/>
        <v>4021.7772</v>
      </c>
      <c r="T73" s="94">
        <f t="shared" si="18"/>
        <v>0.80542190969652105</v>
      </c>
      <c r="V73" s="82"/>
      <c r="W73" s="504">
        <v>25</v>
      </c>
      <c r="X73" s="506" t="s">
        <v>678</v>
      </c>
      <c r="Y73" s="508">
        <v>0</v>
      </c>
      <c r="Z73" s="403">
        <v>0</v>
      </c>
      <c r="AA73" s="407">
        <f t="shared" si="19"/>
        <v>0.80542190969652105</v>
      </c>
      <c r="AB73" s="411"/>
      <c r="AC73" s="446"/>
    </row>
    <row r="74" spans="1:29">
      <c r="A74" s="67">
        <v>26</v>
      </c>
      <c r="B74" s="74" t="s">
        <v>45</v>
      </c>
      <c r="C74" s="125" t="s">
        <v>365</v>
      </c>
      <c r="D74" s="387">
        <f t="shared" si="20"/>
        <v>12</v>
      </c>
      <c r="E74" s="104">
        <f t="shared" si="8"/>
        <v>4</v>
      </c>
      <c r="F74" s="83">
        <f t="shared" si="21"/>
        <v>2515.3523999999998</v>
      </c>
      <c r="G74" s="83">
        <f t="shared" si="10"/>
        <v>120736.91519999999</v>
      </c>
      <c r="H74" s="483">
        <f t="shared" si="11"/>
        <v>0</v>
      </c>
      <c r="I74" s="83">
        <f>+'Costo adq'!C63*$I$1</f>
        <v>2925.4256</v>
      </c>
      <c r="J74" s="83">
        <f t="shared" si="12"/>
        <v>140420.42879999999</v>
      </c>
      <c r="L74" s="54">
        <f>VLOOKUP(A74,'Precios oferta'!$A$30:$U$436,$B$5,FALSE)</f>
        <v>7219.0367999999999</v>
      </c>
      <c r="M74" s="48">
        <f>VLOOKUP(A74,'Precios piso'!$A$30:$U$436,$B$5,FALSE)</f>
        <v>3353.8031999999998</v>
      </c>
      <c r="N74" s="105">
        <f t="shared" si="13"/>
        <v>0.53542234332425065</v>
      </c>
      <c r="O74" s="131">
        <f t="shared" si="9"/>
        <v>2951.3468159999998</v>
      </c>
      <c r="P74" s="388">
        <f t="shared" si="14"/>
        <v>0.59117166212534067</v>
      </c>
      <c r="Q74" s="131">
        <f t="shared" si="15"/>
        <v>2683.0425599999999</v>
      </c>
      <c r="R74" s="105">
        <f t="shared" si="16"/>
        <v>0.62833787465940061</v>
      </c>
      <c r="S74" s="131">
        <f t="shared" si="17"/>
        <v>2515.3523999999998</v>
      </c>
      <c r="T74" s="94">
        <f t="shared" si="18"/>
        <v>0.65156675749318804</v>
      </c>
      <c r="V74" s="82"/>
      <c r="W74" s="504">
        <v>26</v>
      </c>
      <c r="X74" s="506" t="s">
        <v>679</v>
      </c>
      <c r="Y74" s="508">
        <v>12</v>
      </c>
      <c r="Z74" s="403">
        <v>0</v>
      </c>
      <c r="AA74" s="407">
        <f t="shared" si="19"/>
        <v>0.65156675749318804</v>
      </c>
      <c r="AB74" s="411"/>
      <c r="AC74" s="446"/>
    </row>
    <row r="75" spans="1:29">
      <c r="A75" s="67">
        <v>27</v>
      </c>
      <c r="B75" s="74" t="s">
        <v>46</v>
      </c>
      <c r="C75" s="125" t="s">
        <v>365</v>
      </c>
      <c r="D75" s="387">
        <f t="shared" si="20"/>
        <v>80</v>
      </c>
      <c r="E75" s="104">
        <f t="shared" si="8"/>
        <v>4</v>
      </c>
      <c r="F75" s="83">
        <f t="shared" si="21"/>
        <v>3420.1907999999999</v>
      </c>
      <c r="G75" s="83">
        <f t="shared" si="10"/>
        <v>1094461.0559999999</v>
      </c>
      <c r="H75" s="483">
        <f t="shared" si="11"/>
        <v>0</v>
      </c>
      <c r="I75" s="83">
        <f>+'Costo adq'!C64*$I$1</f>
        <v>6372.1167999999998</v>
      </c>
      <c r="J75" s="83">
        <f t="shared" si="12"/>
        <v>2039077.3759999999</v>
      </c>
      <c r="L75" s="54">
        <f>VLOOKUP(A75,'Precios oferta'!$A$30:$U$436,$B$5,FALSE)</f>
        <v>11595.700800000001</v>
      </c>
      <c r="M75" s="48">
        <f>VLOOKUP(A75,'Precios piso'!$A$30:$U$436,$B$5,FALSE)</f>
        <v>4560.2543999999998</v>
      </c>
      <c r="N75" s="105">
        <f t="shared" si="13"/>
        <v>0.60672886627085099</v>
      </c>
      <c r="O75" s="131">
        <f t="shared" si="9"/>
        <v>4013.0238719999998</v>
      </c>
      <c r="P75" s="388">
        <f t="shared" si="14"/>
        <v>0.65392140231834894</v>
      </c>
      <c r="Q75" s="131">
        <f t="shared" si="15"/>
        <v>3648.20352</v>
      </c>
      <c r="R75" s="105">
        <f t="shared" si="16"/>
        <v>0.68538309301668088</v>
      </c>
      <c r="S75" s="131">
        <f t="shared" si="17"/>
        <v>3420.1907999999999</v>
      </c>
      <c r="T75" s="94">
        <f t="shared" si="18"/>
        <v>0.70504664970313824</v>
      </c>
      <c r="V75" s="82"/>
      <c r="W75" s="504">
        <v>27</v>
      </c>
      <c r="X75" s="506" t="s">
        <v>680</v>
      </c>
      <c r="Y75" s="508">
        <v>80</v>
      </c>
      <c r="Z75" s="403">
        <v>0</v>
      </c>
      <c r="AA75" s="407">
        <f t="shared" si="19"/>
        <v>0.70504664970313824</v>
      </c>
      <c r="AB75" s="411"/>
      <c r="AC75" s="446">
        <v>0.689816650148662</v>
      </c>
    </row>
    <row r="76" spans="1:29">
      <c r="A76" s="67">
        <v>28</v>
      </c>
      <c r="B76" s="74" t="s">
        <v>47</v>
      </c>
      <c r="C76" s="125" t="s">
        <v>365</v>
      </c>
      <c r="D76" s="387">
        <f t="shared" si="20"/>
        <v>0</v>
      </c>
      <c r="E76" s="104">
        <f t="shared" si="8"/>
        <v>4</v>
      </c>
      <c r="F76" s="83">
        <f t="shared" si="21"/>
        <v>2200.6260000000002</v>
      </c>
      <c r="G76" s="83">
        <f t="shared" si="10"/>
        <v>0</v>
      </c>
      <c r="H76" s="483">
        <f t="shared" si="11"/>
        <v>0</v>
      </c>
      <c r="I76" s="83">
        <f>+'Costo adq'!C65*$I$1</f>
        <v>2860.9504000000002</v>
      </c>
      <c r="J76" s="83">
        <f t="shared" si="12"/>
        <v>0</v>
      </c>
      <c r="L76" s="54">
        <f>VLOOKUP(A76,'Precios oferta'!$A$30:$U$436,$B$5,FALSE)</f>
        <v>6304.3631999999998</v>
      </c>
      <c r="M76" s="48">
        <f>VLOOKUP(A76,'Precios piso'!$A$30:$U$436,$B$5,FALSE)</f>
        <v>2934.1680000000001</v>
      </c>
      <c r="N76" s="105">
        <f t="shared" si="13"/>
        <v>0.53458138325533011</v>
      </c>
      <c r="O76" s="131">
        <f t="shared" si="9"/>
        <v>2582.0678400000002</v>
      </c>
      <c r="P76" s="388">
        <f t="shared" si="14"/>
        <v>0.59043161726469062</v>
      </c>
      <c r="Q76" s="131">
        <f t="shared" si="15"/>
        <v>2347.3344000000002</v>
      </c>
      <c r="R76" s="105">
        <f t="shared" si="16"/>
        <v>0.62766510660426411</v>
      </c>
      <c r="S76" s="131">
        <f t="shared" si="17"/>
        <v>2200.6260000000002</v>
      </c>
      <c r="T76" s="94">
        <f t="shared" si="18"/>
        <v>0.65093603744149764</v>
      </c>
      <c r="V76" s="82"/>
      <c r="W76" s="504">
        <v>28</v>
      </c>
      <c r="X76" s="506" t="s">
        <v>681</v>
      </c>
      <c r="Y76" s="508">
        <v>0</v>
      </c>
      <c r="Z76" s="403">
        <v>0</v>
      </c>
      <c r="AA76" s="407">
        <f t="shared" si="19"/>
        <v>0.65093603744149764</v>
      </c>
      <c r="AB76" s="411"/>
      <c r="AC76" s="446"/>
    </row>
    <row r="77" spans="1:29">
      <c r="A77" s="67">
        <v>29</v>
      </c>
      <c r="B77" s="74" t="s">
        <v>48</v>
      </c>
      <c r="C77" s="125" t="s">
        <v>365</v>
      </c>
      <c r="D77" s="387">
        <f t="shared" si="20"/>
        <v>0</v>
      </c>
      <c r="E77" s="104">
        <f t="shared" si="8"/>
        <v>4</v>
      </c>
      <c r="F77" s="83">
        <f t="shared" si="21"/>
        <v>1429.3824</v>
      </c>
      <c r="G77" s="83">
        <f t="shared" si="10"/>
        <v>0</v>
      </c>
      <c r="H77" s="483">
        <f t="shared" si="11"/>
        <v>0</v>
      </c>
      <c r="I77" s="83">
        <f>+'Costo adq'!C66*$I$1</f>
        <v>1747.3871999999999</v>
      </c>
      <c r="J77" s="83">
        <f t="shared" si="12"/>
        <v>0</v>
      </c>
      <c r="L77" s="54">
        <f>VLOOKUP(A77,'Precios oferta'!$A$30:$U$436,$B$5,FALSE)</f>
        <v>4437.8608000000004</v>
      </c>
      <c r="M77" s="48">
        <f>VLOOKUP(A77,'Precios piso'!$A$30:$U$436,$B$5,FALSE)</f>
        <v>1905.8432</v>
      </c>
      <c r="N77" s="105">
        <f t="shared" si="13"/>
        <v>0.5705491258310762</v>
      </c>
      <c r="O77" s="131">
        <f t="shared" si="9"/>
        <v>1677.142016</v>
      </c>
      <c r="P77" s="388">
        <f t="shared" si="14"/>
        <v>0.62208323073134697</v>
      </c>
      <c r="Q77" s="131">
        <f t="shared" si="15"/>
        <v>1524.6745599999999</v>
      </c>
      <c r="R77" s="105">
        <f t="shared" si="16"/>
        <v>0.65643930066486089</v>
      </c>
      <c r="S77" s="131">
        <f t="shared" si="17"/>
        <v>1429.3824</v>
      </c>
      <c r="T77" s="94">
        <f t="shared" si="18"/>
        <v>0.67791184437330709</v>
      </c>
      <c r="V77" s="82"/>
      <c r="W77" s="504">
        <v>29</v>
      </c>
      <c r="X77" s="506" t="s">
        <v>682</v>
      </c>
      <c r="Y77" s="508">
        <v>0</v>
      </c>
      <c r="Z77" s="403">
        <v>0</v>
      </c>
      <c r="AA77" s="407">
        <f t="shared" si="19"/>
        <v>0.67791184437330709</v>
      </c>
      <c r="AB77" s="411"/>
      <c r="AC77" s="446"/>
    </row>
    <row r="78" spans="1:29">
      <c r="A78" s="67">
        <v>30</v>
      </c>
      <c r="B78" s="74" t="s">
        <v>49</v>
      </c>
      <c r="C78" s="125" t="s">
        <v>365</v>
      </c>
      <c r="D78" s="387">
        <f t="shared" si="20"/>
        <v>119</v>
      </c>
      <c r="E78" s="104">
        <f t="shared" si="8"/>
        <v>4</v>
      </c>
      <c r="F78" s="83">
        <f t="shared" si="21"/>
        <v>4150.4543999999996</v>
      </c>
      <c r="G78" s="83">
        <f t="shared" si="10"/>
        <v>1975616.2943999998</v>
      </c>
      <c r="H78" s="483">
        <f t="shared" si="11"/>
        <v>0</v>
      </c>
      <c r="I78" s="83">
        <f>+'Costo adq'!C67*$I$1</f>
        <v>6372.1167999999998</v>
      </c>
      <c r="J78" s="83">
        <f t="shared" si="12"/>
        <v>3033127.5967999999</v>
      </c>
      <c r="L78" s="54">
        <f>VLOOKUP(A78,'Precios oferta'!$A$30:$U$436,$B$5,FALSE)</f>
        <v>11409.924800000001</v>
      </c>
      <c r="M78" s="48">
        <f>VLOOKUP(A78,'Precios piso'!$A$30:$U$436,$B$5,FALSE)</f>
        <v>5533.9391999999998</v>
      </c>
      <c r="N78" s="105">
        <f t="shared" si="13"/>
        <v>0.51498898572933638</v>
      </c>
      <c r="O78" s="131">
        <f t="shared" si="9"/>
        <v>4869.8664959999996</v>
      </c>
      <c r="P78" s="388">
        <f t="shared" si="14"/>
        <v>0.57319030744181598</v>
      </c>
      <c r="Q78" s="131">
        <f t="shared" si="15"/>
        <v>4427.1513599999998</v>
      </c>
      <c r="R78" s="105">
        <f t="shared" si="16"/>
        <v>0.61199118858346901</v>
      </c>
      <c r="S78" s="131">
        <f t="shared" si="17"/>
        <v>4150.4543999999996</v>
      </c>
      <c r="T78" s="94">
        <f t="shared" si="18"/>
        <v>0.63624173929700234</v>
      </c>
      <c r="V78" s="82"/>
      <c r="W78" s="504">
        <v>30</v>
      </c>
      <c r="X78" s="506" t="s">
        <v>683</v>
      </c>
      <c r="Y78" s="508">
        <v>119</v>
      </c>
      <c r="Z78" s="403">
        <v>0</v>
      </c>
      <c r="AA78" s="407">
        <f t="shared" si="19"/>
        <v>0.63624173929700234</v>
      </c>
      <c r="AB78" s="411"/>
      <c r="AC78" s="446">
        <v>0.61974369243091709</v>
      </c>
    </row>
    <row r="79" spans="1:29">
      <c r="A79" s="67">
        <v>31</v>
      </c>
      <c r="B79" s="74" t="s">
        <v>50</v>
      </c>
      <c r="C79" s="125" t="s">
        <v>365</v>
      </c>
      <c r="D79" s="387">
        <f t="shared" si="20"/>
        <v>0</v>
      </c>
      <c r="E79" s="104">
        <f t="shared" si="8"/>
        <v>4</v>
      </c>
      <c r="F79" s="83">
        <f t="shared" si="21"/>
        <v>1778.5320000000002</v>
      </c>
      <c r="G79" s="83">
        <f t="shared" si="10"/>
        <v>0</v>
      </c>
      <c r="H79" s="483">
        <f t="shared" si="11"/>
        <v>0</v>
      </c>
      <c r="I79" s="83">
        <f>+'Costo adq'!C68*$I$1</f>
        <v>2730.9072000000001</v>
      </c>
      <c r="J79" s="83">
        <f t="shared" si="12"/>
        <v>0</v>
      </c>
      <c r="L79" s="54">
        <f>VLOOKUP(A79,'Precios oferta'!$A$30:$U$436,$B$5,FALSE)</f>
        <v>5043.2719999999999</v>
      </c>
      <c r="M79" s="48">
        <f>VLOOKUP(A79,'Precios piso'!$A$30:$U$436,$B$5,FALSE)</f>
        <v>2371.3760000000002</v>
      </c>
      <c r="N79" s="105">
        <f t="shared" si="13"/>
        <v>0.5297941495124594</v>
      </c>
      <c r="O79" s="131">
        <f t="shared" si="9"/>
        <v>2086.81088</v>
      </c>
      <c r="P79" s="388">
        <f t="shared" si="14"/>
        <v>0.58621885157096432</v>
      </c>
      <c r="Q79" s="131">
        <f t="shared" si="15"/>
        <v>1897.1008000000002</v>
      </c>
      <c r="R79" s="105">
        <f t="shared" si="16"/>
        <v>0.62383531960996752</v>
      </c>
      <c r="S79" s="131">
        <f t="shared" si="17"/>
        <v>1778.5320000000002</v>
      </c>
      <c r="T79" s="94">
        <f t="shared" si="18"/>
        <v>0.64734561213434449</v>
      </c>
      <c r="V79" s="82"/>
      <c r="W79" s="504">
        <v>31</v>
      </c>
      <c r="X79" s="506" t="s">
        <v>684</v>
      </c>
      <c r="Y79" s="508">
        <v>0</v>
      </c>
      <c r="Z79" s="403">
        <v>0</v>
      </c>
      <c r="AA79" s="407">
        <f t="shared" si="19"/>
        <v>0.64734561213434449</v>
      </c>
      <c r="AB79" s="411"/>
      <c r="AC79" s="446"/>
    </row>
    <row r="80" spans="1:29">
      <c r="A80" s="67">
        <v>32</v>
      </c>
      <c r="B80" s="74" t="s">
        <v>51</v>
      </c>
      <c r="C80" s="125" t="s">
        <v>365</v>
      </c>
      <c r="D80" s="387">
        <f t="shared" si="20"/>
        <v>0</v>
      </c>
      <c r="E80" s="104">
        <f t="shared" si="8"/>
        <v>4</v>
      </c>
      <c r="F80" s="83">
        <f t="shared" si="21"/>
        <v>10889.205600000001</v>
      </c>
      <c r="G80" s="83">
        <f t="shared" si="10"/>
        <v>0</v>
      </c>
      <c r="H80" s="483">
        <f t="shared" si="11"/>
        <v>0</v>
      </c>
      <c r="I80" s="83">
        <f>+'Costo adq'!C69*$I$1</f>
        <v>27538.560000000001</v>
      </c>
      <c r="J80" s="83">
        <f t="shared" si="12"/>
        <v>0</v>
      </c>
      <c r="L80" s="54">
        <f>VLOOKUP(A80,'Precios oferta'!$A$30:$U$436,$B$5,FALSE)</f>
        <v>42265.132799999999</v>
      </c>
      <c r="M80" s="48">
        <f>VLOOKUP(A80,'Precios piso'!$A$30:$U$436,$B$5,FALSE)</f>
        <v>14518.9408</v>
      </c>
      <c r="N80" s="105">
        <f t="shared" si="13"/>
        <v>0.65647947047264454</v>
      </c>
      <c r="O80" s="131">
        <f t="shared" si="9"/>
        <v>12776.667904</v>
      </c>
      <c r="P80" s="388">
        <f t="shared" si="14"/>
        <v>0.69770193401592717</v>
      </c>
      <c r="Q80" s="131">
        <f t="shared" si="15"/>
        <v>11615.15264</v>
      </c>
      <c r="R80" s="105">
        <f t="shared" si="16"/>
        <v>0.72518357637811559</v>
      </c>
      <c r="S80" s="131">
        <f t="shared" si="17"/>
        <v>10889.205600000001</v>
      </c>
      <c r="T80" s="94">
        <f t="shared" si="18"/>
        <v>0.74235960285448344</v>
      </c>
      <c r="V80" s="82"/>
      <c r="W80" s="504">
        <v>32</v>
      </c>
      <c r="X80" s="506" t="s">
        <v>685</v>
      </c>
      <c r="Y80" s="508">
        <v>0</v>
      </c>
      <c r="Z80" s="403">
        <v>0</v>
      </c>
      <c r="AA80" s="407">
        <f t="shared" si="19"/>
        <v>0.74235960285448344</v>
      </c>
      <c r="AB80" s="411"/>
      <c r="AC80" s="446"/>
    </row>
    <row r="81" spans="1:29">
      <c r="A81" s="67">
        <v>33</v>
      </c>
      <c r="B81" s="74" t="s">
        <v>52</v>
      </c>
      <c r="C81" s="125" t="s">
        <v>365</v>
      </c>
      <c r="D81" s="387">
        <f t="shared" si="20"/>
        <v>0</v>
      </c>
      <c r="E81" s="104">
        <f t="shared" si="8"/>
        <v>4</v>
      </c>
      <c r="F81" s="83">
        <f t="shared" si="21"/>
        <v>9608.1707999999999</v>
      </c>
      <c r="G81" s="83">
        <f t="shared" si="10"/>
        <v>0</v>
      </c>
      <c r="H81" s="483">
        <f t="shared" si="11"/>
        <v>0</v>
      </c>
      <c r="I81" s="83">
        <f>+'Costo adq'!C70*$I$1</f>
        <v>15345.097599999999</v>
      </c>
      <c r="J81" s="83">
        <f t="shared" si="12"/>
        <v>0</v>
      </c>
      <c r="L81" s="54">
        <f>VLOOKUP(A81,'Precios oferta'!$A$30:$U$436,$B$5,FALSE)</f>
        <v>41213.859199999999</v>
      </c>
      <c r="M81" s="48">
        <f>VLOOKUP(A81,'Precios piso'!$A$30:$U$436,$B$5,FALSE)</f>
        <v>12810.894399999999</v>
      </c>
      <c r="N81" s="105">
        <f t="shared" si="13"/>
        <v>0.68916052394336325</v>
      </c>
      <c r="O81" s="131">
        <f t="shared" si="9"/>
        <v>11273.587071999998</v>
      </c>
      <c r="P81" s="388">
        <f t="shared" si="14"/>
        <v>0.72646126107015974</v>
      </c>
      <c r="Q81" s="131">
        <f t="shared" si="15"/>
        <v>10248.71552</v>
      </c>
      <c r="R81" s="105">
        <f t="shared" si="16"/>
        <v>0.75132841915469051</v>
      </c>
      <c r="S81" s="131">
        <f t="shared" si="17"/>
        <v>9608.1707999999999</v>
      </c>
      <c r="T81" s="94">
        <f t="shared" si="18"/>
        <v>0.76687039295752246</v>
      </c>
      <c r="V81" s="82"/>
      <c r="W81" s="504">
        <v>33</v>
      </c>
      <c r="X81" s="506" t="s">
        <v>686</v>
      </c>
      <c r="Y81" s="508">
        <v>0</v>
      </c>
      <c r="Z81" s="403">
        <v>0</v>
      </c>
      <c r="AA81" s="407">
        <f t="shared" si="19"/>
        <v>0.76687039295752246</v>
      </c>
      <c r="AB81" s="411"/>
      <c r="AC81" s="446"/>
    </row>
    <row r="82" spans="1:29">
      <c r="A82" s="67">
        <v>34</v>
      </c>
      <c r="B82" s="74" t="s">
        <v>53</v>
      </c>
      <c r="C82" s="125" t="s">
        <v>365</v>
      </c>
      <c r="D82" s="387">
        <f t="shared" si="20"/>
        <v>0</v>
      </c>
      <c r="E82" s="104">
        <f t="shared" si="8"/>
        <v>4</v>
      </c>
      <c r="F82" s="83">
        <f t="shared" si="21"/>
        <v>2527.6464000000001</v>
      </c>
      <c r="G82" s="83">
        <f t="shared" si="10"/>
        <v>0</v>
      </c>
      <c r="H82" s="483">
        <f t="shared" si="11"/>
        <v>0</v>
      </c>
      <c r="I82" s="83">
        <f>+'Costo adq'!C71*$I$1</f>
        <v>7802.5919999999996</v>
      </c>
      <c r="J82" s="83">
        <f t="shared" si="12"/>
        <v>0</v>
      </c>
      <c r="L82" s="54">
        <f>VLOOKUP(A82,'Precios oferta'!$A$30:$U$436,$B$5,FALSE)</f>
        <v>12608.7264</v>
      </c>
      <c r="M82" s="48">
        <f>VLOOKUP(A82,'Precios piso'!$A$30:$U$436,$B$5,FALSE)</f>
        <v>3370.1952000000001</v>
      </c>
      <c r="N82" s="105">
        <f t="shared" si="13"/>
        <v>0.73270930837233483</v>
      </c>
      <c r="O82" s="131">
        <f t="shared" si="9"/>
        <v>2965.771776</v>
      </c>
      <c r="P82" s="388">
        <f t="shared" si="14"/>
        <v>0.76478419136765474</v>
      </c>
      <c r="Q82" s="131">
        <f t="shared" si="15"/>
        <v>2696.15616</v>
      </c>
      <c r="R82" s="105">
        <f t="shared" si="16"/>
        <v>0.78616744669786787</v>
      </c>
      <c r="S82" s="131">
        <f t="shared" si="17"/>
        <v>2527.6464000000001</v>
      </c>
      <c r="T82" s="94">
        <f t="shared" si="18"/>
        <v>0.79953198127925118</v>
      </c>
      <c r="V82" s="82"/>
      <c r="W82" s="504">
        <v>34</v>
      </c>
      <c r="X82" s="506" t="s">
        <v>687</v>
      </c>
      <c r="Y82" s="508">
        <v>0</v>
      </c>
      <c r="Z82" s="403">
        <v>0</v>
      </c>
      <c r="AA82" s="407">
        <f t="shared" si="19"/>
        <v>0.79953198127925118</v>
      </c>
      <c r="AB82" s="411"/>
      <c r="AC82" s="446"/>
    </row>
    <row r="83" spans="1:29">
      <c r="A83" s="67">
        <v>35</v>
      </c>
      <c r="B83" s="74" t="s">
        <v>54</v>
      </c>
      <c r="C83" s="125" t="s">
        <v>365</v>
      </c>
      <c r="D83" s="387">
        <f t="shared" si="20"/>
        <v>20</v>
      </c>
      <c r="E83" s="104">
        <f t="shared" si="8"/>
        <v>4</v>
      </c>
      <c r="F83" s="83">
        <f t="shared" si="21"/>
        <v>2206.3631999999998</v>
      </c>
      <c r="G83" s="83">
        <f t="shared" si="10"/>
        <v>176509.05599999998</v>
      </c>
      <c r="H83" s="483">
        <f t="shared" si="11"/>
        <v>0</v>
      </c>
      <c r="I83" s="83">
        <f>+'Costo adq'!C72*$I$1</f>
        <v>2503.6048000000001</v>
      </c>
      <c r="J83" s="83">
        <f t="shared" si="12"/>
        <v>200288.38400000002</v>
      </c>
      <c r="L83" s="54">
        <f>VLOOKUP(A83,'Precios oferta'!$A$30:$U$436,$B$5,FALSE)</f>
        <v>6638.76</v>
      </c>
      <c r="M83" s="48">
        <f>VLOOKUP(A83,'Precios piso'!$A$30:$U$436,$B$5,FALSE)</f>
        <v>2941.8175999999999</v>
      </c>
      <c r="N83" s="105">
        <f t="shared" si="13"/>
        <v>0.55687242798353909</v>
      </c>
      <c r="O83" s="131">
        <f t="shared" si="9"/>
        <v>2588.7994879999997</v>
      </c>
      <c r="P83" s="388">
        <f t="shared" si="14"/>
        <v>0.61004773662551448</v>
      </c>
      <c r="Q83" s="131">
        <f t="shared" si="15"/>
        <v>2353.45408</v>
      </c>
      <c r="R83" s="105">
        <f t="shared" si="16"/>
        <v>0.64549794238683122</v>
      </c>
      <c r="S83" s="131">
        <f t="shared" si="17"/>
        <v>2206.3631999999998</v>
      </c>
      <c r="T83" s="94">
        <f t="shared" si="18"/>
        <v>0.66765432098765443</v>
      </c>
      <c r="V83" s="82"/>
      <c r="W83" s="504">
        <v>35</v>
      </c>
      <c r="X83" s="506" t="s">
        <v>688</v>
      </c>
      <c r="Y83" s="508">
        <v>20</v>
      </c>
      <c r="Z83" s="403">
        <v>0</v>
      </c>
      <c r="AA83" s="407">
        <f t="shared" si="19"/>
        <v>0.66765432098765443</v>
      </c>
      <c r="AB83" s="411"/>
      <c r="AC83" s="446"/>
    </row>
    <row r="84" spans="1:29">
      <c r="A84" s="67">
        <v>36</v>
      </c>
      <c r="B84" s="74" t="s">
        <v>55</v>
      </c>
      <c r="C84" s="125" t="s">
        <v>365</v>
      </c>
      <c r="D84" s="387">
        <f t="shared" si="20"/>
        <v>0</v>
      </c>
      <c r="E84" s="104">
        <f t="shared" si="8"/>
        <v>4</v>
      </c>
      <c r="F84" s="83">
        <f t="shared" si="21"/>
        <v>8495.1539999999986</v>
      </c>
      <c r="G84" s="83">
        <f t="shared" si="10"/>
        <v>0</v>
      </c>
      <c r="H84" s="483">
        <f t="shared" si="11"/>
        <v>0</v>
      </c>
      <c r="I84" s="83">
        <f>+'Costo adq'!C73*$I$1</f>
        <v>14506.92</v>
      </c>
      <c r="J84" s="83">
        <f t="shared" si="12"/>
        <v>0</v>
      </c>
      <c r="L84" s="54">
        <f>VLOOKUP(A84,'Precios oferta'!$A$30:$U$436,$B$5,FALSE)</f>
        <v>19952.342400000001</v>
      </c>
      <c r="M84" s="48">
        <f>VLOOKUP(A84,'Precios piso'!$A$30:$U$436,$B$5,FALSE)</f>
        <v>11326.871999999999</v>
      </c>
      <c r="N84" s="105">
        <f t="shared" si="13"/>
        <v>0.43230364771606977</v>
      </c>
      <c r="O84" s="131">
        <f t="shared" si="9"/>
        <v>9967.647359999999</v>
      </c>
      <c r="P84" s="388">
        <f t="shared" si="14"/>
        <v>0.50042720999014145</v>
      </c>
      <c r="Q84" s="131">
        <f t="shared" si="15"/>
        <v>9061.4975999999988</v>
      </c>
      <c r="R84" s="105">
        <f t="shared" si="16"/>
        <v>0.54584291817285591</v>
      </c>
      <c r="S84" s="131">
        <f t="shared" si="17"/>
        <v>8495.1539999999986</v>
      </c>
      <c r="T84" s="94">
        <f t="shared" si="18"/>
        <v>0.57422773578705233</v>
      </c>
      <c r="V84" s="82"/>
      <c r="W84" s="504">
        <v>36</v>
      </c>
      <c r="X84" s="506" t="s">
        <v>689</v>
      </c>
      <c r="Y84" s="508">
        <v>0</v>
      </c>
      <c r="Z84" s="403">
        <v>0</v>
      </c>
      <c r="AA84" s="407">
        <f t="shared" si="19"/>
        <v>0.57422773578705233</v>
      </c>
      <c r="AB84" s="411"/>
      <c r="AC84" s="446"/>
    </row>
    <row r="85" spans="1:29">
      <c r="A85" s="67">
        <v>37</v>
      </c>
      <c r="B85" s="74" t="s">
        <v>56</v>
      </c>
      <c r="C85" s="125" t="s">
        <v>365</v>
      </c>
      <c r="D85" s="387">
        <f t="shared" si="20"/>
        <v>0</v>
      </c>
      <c r="E85" s="104">
        <f t="shared" si="8"/>
        <v>4</v>
      </c>
      <c r="F85" s="83">
        <f t="shared" si="21"/>
        <v>2451.4236000000001</v>
      </c>
      <c r="G85" s="83">
        <f t="shared" si="10"/>
        <v>0</v>
      </c>
      <c r="H85" s="483">
        <f t="shared" si="11"/>
        <v>0</v>
      </c>
      <c r="I85" s="83">
        <f>+'Costo adq'!C74*$I$1</f>
        <v>3121.0367999999999</v>
      </c>
      <c r="J85" s="83">
        <f t="shared" si="12"/>
        <v>0</v>
      </c>
      <c r="L85" s="54">
        <f>VLOOKUP(A85,'Precios oferta'!$A$30:$U$436,$B$5,FALSE)</f>
        <v>6699.9567999999999</v>
      </c>
      <c r="M85" s="48">
        <f>VLOOKUP(A85,'Precios piso'!$A$30:$U$436,$B$5,FALSE)</f>
        <v>3268.5648000000001</v>
      </c>
      <c r="N85" s="105">
        <f t="shared" si="13"/>
        <v>0.5121513619311695</v>
      </c>
      <c r="O85" s="131">
        <f t="shared" si="9"/>
        <v>2876.3370239999999</v>
      </c>
      <c r="P85" s="388">
        <f t="shared" si="14"/>
        <v>0.57069319849942912</v>
      </c>
      <c r="Q85" s="131">
        <f t="shared" si="15"/>
        <v>2614.8518400000003</v>
      </c>
      <c r="R85" s="105">
        <f t="shared" si="16"/>
        <v>0.60972108954493554</v>
      </c>
      <c r="S85" s="131">
        <f t="shared" si="17"/>
        <v>2451.4236000000001</v>
      </c>
      <c r="T85" s="94">
        <f t="shared" si="18"/>
        <v>0.63411352144837707</v>
      </c>
      <c r="V85" s="82"/>
      <c r="W85" s="504">
        <v>37</v>
      </c>
      <c r="X85" s="506" t="s">
        <v>690</v>
      </c>
      <c r="Y85" s="508">
        <v>0</v>
      </c>
      <c r="Z85" s="403">
        <v>0</v>
      </c>
      <c r="AA85" s="407">
        <f t="shared" si="19"/>
        <v>0.63411352144837707</v>
      </c>
      <c r="AB85" s="411"/>
      <c r="AC85" s="446"/>
    </row>
    <row r="86" spans="1:29">
      <c r="A86" s="67">
        <v>38</v>
      </c>
      <c r="B86" s="74" t="s">
        <v>57</v>
      </c>
      <c r="C86" s="125" t="s">
        <v>365</v>
      </c>
      <c r="D86" s="387">
        <f t="shared" si="20"/>
        <v>0</v>
      </c>
      <c r="E86" s="104">
        <f t="shared" si="8"/>
        <v>4</v>
      </c>
      <c r="F86" s="83">
        <f t="shared" si="21"/>
        <v>1540.0284000000001</v>
      </c>
      <c r="G86" s="83">
        <f t="shared" si="10"/>
        <v>0</v>
      </c>
      <c r="H86" s="483">
        <f t="shared" si="11"/>
        <v>0</v>
      </c>
      <c r="I86" s="83">
        <f>+'Costo adq'!C75*$I$1</f>
        <v>2860.9504000000002</v>
      </c>
      <c r="J86" s="83">
        <f t="shared" si="12"/>
        <v>0</v>
      </c>
      <c r="L86" s="54">
        <f>VLOOKUP(A86,'Precios oferta'!$A$30:$U$436,$B$5,FALSE)</f>
        <v>5562.3519999999999</v>
      </c>
      <c r="M86" s="48">
        <f>VLOOKUP(A86,'Precios piso'!$A$30:$U$436,$B$5,FALSE)</f>
        <v>2053.3712</v>
      </c>
      <c r="N86" s="105">
        <f t="shared" si="13"/>
        <v>0.63084479371316304</v>
      </c>
      <c r="O86" s="131">
        <f t="shared" si="9"/>
        <v>1806.9666560000001</v>
      </c>
      <c r="P86" s="388">
        <f t="shared" si="14"/>
        <v>0.67514341846758352</v>
      </c>
      <c r="Q86" s="131">
        <f t="shared" si="15"/>
        <v>1642.69696</v>
      </c>
      <c r="R86" s="105">
        <f t="shared" si="16"/>
        <v>0.70467583497053043</v>
      </c>
      <c r="S86" s="131">
        <f t="shared" si="17"/>
        <v>1540.0284000000001</v>
      </c>
      <c r="T86" s="94">
        <f t="shared" si="18"/>
        <v>0.72313359528487231</v>
      </c>
      <c r="V86" s="82"/>
      <c r="W86" s="504">
        <v>38</v>
      </c>
      <c r="X86" s="506" t="s">
        <v>691</v>
      </c>
      <c r="Y86" s="508">
        <v>0</v>
      </c>
      <c r="Z86" s="403">
        <v>0</v>
      </c>
      <c r="AA86" s="407">
        <f t="shared" si="19"/>
        <v>0.72313359528487231</v>
      </c>
      <c r="AB86" s="411"/>
      <c r="AC86" s="446"/>
    </row>
    <row r="87" spans="1:29">
      <c r="A87" s="67">
        <v>39</v>
      </c>
      <c r="B87" s="74" t="s">
        <v>58</v>
      </c>
      <c r="C87" s="125" t="s">
        <v>365</v>
      </c>
      <c r="D87" s="387">
        <f t="shared" si="20"/>
        <v>0</v>
      </c>
      <c r="E87" s="104">
        <f t="shared" si="8"/>
        <v>4</v>
      </c>
      <c r="F87" s="83">
        <f t="shared" si="21"/>
        <v>4865.9651999999996</v>
      </c>
      <c r="G87" s="83">
        <f t="shared" si="10"/>
        <v>0</v>
      </c>
      <c r="H87" s="483">
        <f t="shared" si="11"/>
        <v>0</v>
      </c>
      <c r="I87" s="83">
        <f>+'Costo adq'!C76*$I$1</f>
        <v>9493.1535999999996</v>
      </c>
      <c r="J87" s="83">
        <f t="shared" si="12"/>
        <v>0</v>
      </c>
      <c r="L87" s="54">
        <f>VLOOKUP(A87,'Precios oferta'!$A$30:$U$436,$B$5,FALSE)</f>
        <v>17986.395199999999</v>
      </c>
      <c r="M87" s="48">
        <f>VLOOKUP(A87,'Precios piso'!$A$30:$U$436,$B$5,FALSE)</f>
        <v>6487.9535999999998</v>
      </c>
      <c r="N87" s="105">
        <f t="shared" si="13"/>
        <v>0.63928549729631201</v>
      </c>
      <c r="O87" s="131">
        <f t="shared" si="9"/>
        <v>5709.3991679999999</v>
      </c>
      <c r="P87" s="388">
        <f t="shared" si="14"/>
        <v>0.68257123762075467</v>
      </c>
      <c r="Q87" s="131">
        <f t="shared" si="15"/>
        <v>5190.3628799999997</v>
      </c>
      <c r="R87" s="105">
        <f t="shared" si="16"/>
        <v>0.7114283978370497</v>
      </c>
      <c r="S87" s="131">
        <f t="shared" si="17"/>
        <v>4865.9651999999996</v>
      </c>
      <c r="T87" s="94">
        <f t="shared" si="18"/>
        <v>0.72946412297223406</v>
      </c>
      <c r="V87" s="82"/>
      <c r="W87" s="504">
        <v>39</v>
      </c>
      <c r="X87" s="506" t="s">
        <v>692</v>
      </c>
      <c r="Y87" s="508">
        <v>0</v>
      </c>
      <c r="Z87" s="403">
        <v>0</v>
      </c>
      <c r="AA87" s="407">
        <f t="shared" si="19"/>
        <v>0.72946412297223406</v>
      </c>
      <c r="AB87" s="411"/>
      <c r="AC87" s="446"/>
    </row>
    <row r="88" spans="1:29">
      <c r="A88" s="67">
        <v>40</v>
      </c>
      <c r="B88" s="74" t="s">
        <v>59</v>
      </c>
      <c r="C88" s="125" t="s">
        <v>365</v>
      </c>
      <c r="D88" s="387">
        <f t="shared" si="20"/>
        <v>0</v>
      </c>
      <c r="E88" s="104">
        <f t="shared" si="8"/>
        <v>4</v>
      </c>
      <c r="F88" s="83">
        <f t="shared" si="21"/>
        <v>3752.9484000000002</v>
      </c>
      <c r="G88" s="83">
        <f t="shared" si="10"/>
        <v>0</v>
      </c>
      <c r="H88" s="483">
        <f t="shared" si="11"/>
        <v>0</v>
      </c>
      <c r="I88" s="83">
        <f>+'Costo adq'!C77*$I$1</f>
        <v>14653.3552</v>
      </c>
      <c r="J88" s="83">
        <f t="shared" si="12"/>
        <v>0</v>
      </c>
      <c r="L88" s="54">
        <f>VLOOKUP(A88,'Precios oferta'!$A$30:$U$436,$B$5,FALSE)</f>
        <v>16070.7168</v>
      </c>
      <c r="M88" s="48">
        <f>VLOOKUP(A88,'Precios piso'!$A$30:$U$436,$B$5,FALSE)</f>
        <v>5003.9312</v>
      </c>
      <c r="N88" s="105">
        <f t="shared" si="13"/>
        <v>0.68863049095607232</v>
      </c>
      <c r="O88" s="131">
        <f t="shared" si="9"/>
        <v>4403.4594560000005</v>
      </c>
      <c r="P88" s="388">
        <f t="shared" si="14"/>
        <v>0.72599483204134363</v>
      </c>
      <c r="Q88" s="131">
        <f t="shared" si="15"/>
        <v>4003.1449600000001</v>
      </c>
      <c r="R88" s="105">
        <f t="shared" si="16"/>
        <v>0.75090439276485788</v>
      </c>
      <c r="S88" s="131">
        <f t="shared" si="17"/>
        <v>3752.9484000000002</v>
      </c>
      <c r="T88" s="94">
        <f t="shared" si="18"/>
        <v>0.76647286821705429</v>
      </c>
      <c r="V88" s="82"/>
      <c r="W88" s="504">
        <v>40</v>
      </c>
      <c r="X88" s="506" t="s">
        <v>693</v>
      </c>
      <c r="Y88" s="508">
        <v>0</v>
      </c>
      <c r="Z88" s="403">
        <v>0</v>
      </c>
      <c r="AA88" s="407">
        <f t="shared" si="19"/>
        <v>0.76647286821705429</v>
      </c>
      <c r="AB88" s="411"/>
      <c r="AC88" s="446"/>
    </row>
    <row r="89" spans="1:29">
      <c r="A89" s="67">
        <v>41</v>
      </c>
      <c r="B89" s="74" t="s">
        <v>60</v>
      </c>
      <c r="C89" s="125" t="s">
        <v>365</v>
      </c>
      <c r="D89" s="387">
        <f t="shared" si="20"/>
        <v>30</v>
      </c>
      <c r="E89" s="104">
        <f t="shared" si="8"/>
        <v>4</v>
      </c>
      <c r="F89" s="83">
        <f t="shared" si="21"/>
        <v>1422.8255999999999</v>
      </c>
      <c r="G89" s="83">
        <f t="shared" si="10"/>
        <v>170739.07199999999</v>
      </c>
      <c r="H89" s="483">
        <f t="shared" si="11"/>
        <v>0</v>
      </c>
      <c r="I89" s="83">
        <f>+'Costo adq'!C78*$I$1</f>
        <v>3641.2096000000001</v>
      </c>
      <c r="J89" s="83">
        <f t="shared" si="12"/>
        <v>436945.152</v>
      </c>
      <c r="L89" s="54">
        <f>VLOOKUP(A89,'Precios oferta'!$A$30:$U$436,$B$5,FALSE)</f>
        <v>5649.7759999999998</v>
      </c>
      <c r="M89" s="48">
        <f>VLOOKUP(A89,'Precios piso'!$A$30:$U$436,$B$5,FALSE)</f>
        <v>1897.1007999999999</v>
      </c>
      <c r="N89" s="105">
        <f t="shared" si="13"/>
        <v>0.66421663442940038</v>
      </c>
      <c r="O89" s="131">
        <f t="shared" si="9"/>
        <v>1669.4487039999999</v>
      </c>
      <c r="P89" s="388">
        <f t="shared" si="14"/>
        <v>0.7045106382978723</v>
      </c>
      <c r="Q89" s="131">
        <f t="shared" si="15"/>
        <v>1517.68064</v>
      </c>
      <c r="R89" s="105">
        <f t="shared" si="16"/>
        <v>0.73137330754352026</v>
      </c>
      <c r="S89" s="131">
        <f t="shared" si="17"/>
        <v>1422.8255999999999</v>
      </c>
      <c r="T89" s="94">
        <f t="shared" si="18"/>
        <v>0.74816247582205031</v>
      </c>
      <c r="V89" s="82"/>
      <c r="W89" s="504">
        <v>41</v>
      </c>
      <c r="X89" s="506" t="s">
        <v>694</v>
      </c>
      <c r="Y89" s="508">
        <v>30</v>
      </c>
      <c r="Z89" s="403">
        <v>0</v>
      </c>
      <c r="AA89" s="407">
        <f t="shared" si="19"/>
        <v>0.74816247582205031</v>
      </c>
      <c r="AB89" s="411"/>
      <c r="AC89" s="446">
        <v>0.71841038118410383</v>
      </c>
    </row>
    <row r="90" spans="1:29">
      <c r="A90" s="67">
        <v>42</v>
      </c>
      <c r="B90" s="74" t="s">
        <v>61</v>
      </c>
      <c r="C90" s="125" t="s">
        <v>365</v>
      </c>
      <c r="D90" s="387">
        <f t="shared" si="20"/>
        <v>0</v>
      </c>
      <c r="E90" s="104">
        <f t="shared" si="8"/>
        <v>4</v>
      </c>
      <c r="F90" s="83">
        <f t="shared" si="21"/>
        <v>2317.0092</v>
      </c>
      <c r="G90" s="83">
        <f t="shared" si="10"/>
        <v>0</v>
      </c>
      <c r="H90" s="483">
        <f t="shared" si="11"/>
        <v>0</v>
      </c>
      <c r="I90" s="83">
        <f>+'Costo adq'!C79*$I$1</f>
        <v>5058.5712000000003</v>
      </c>
      <c r="J90" s="83">
        <f t="shared" si="12"/>
        <v>0</v>
      </c>
      <c r="L90" s="54">
        <f>VLOOKUP(A90,'Precios oferta'!$A$30:$U$436,$B$5,FALSE)</f>
        <v>5068.4063999999998</v>
      </c>
      <c r="M90" s="48">
        <f>VLOOKUP(A90,'Precios piso'!$A$30:$U$436,$B$5,FALSE)</f>
        <v>3089.3456000000001</v>
      </c>
      <c r="N90" s="105">
        <f t="shared" si="13"/>
        <v>0.3904700301854247</v>
      </c>
      <c r="O90" s="131">
        <f t="shared" si="9"/>
        <v>2718.6241279999999</v>
      </c>
      <c r="P90" s="388">
        <f t="shared" si="14"/>
        <v>0.46361362656317373</v>
      </c>
      <c r="Q90" s="131">
        <f t="shared" si="15"/>
        <v>2471.4764800000003</v>
      </c>
      <c r="R90" s="105">
        <f t="shared" si="16"/>
        <v>0.51237602414833971</v>
      </c>
      <c r="S90" s="131">
        <f t="shared" si="17"/>
        <v>2317.0092</v>
      </c>
      <c r="T90" s="94">
        <f t="shared" si="18"/>
        <v>0.54285252263906858</v>
      </c>
      <c r="V90" s="82"/>
      <c r="W90" s="504">
        <v>42</v>
      </c>
      <c r="X90" s="506" t="s">
        <v>695</v>
      </c>
      <c r="Y90" s="508">
        <v>0</v>
      </c>
      <c r="Z90" s="403">
        <v>0</v>
      </c>
      <c r="AA90" s="407">
        <f t="shared" si="19"/>
        <v>0.54285252263906858</v>
      </c>
      <c r="AB90" s="411"/>
      <c r="AC90" s="446"/>
    </row>
    <row r="91" spans="1:29">
      <c r="A91" s="67">
        <v>43</v>
      </c>
      <c r="B91" s="74" t="s">
        <v>62</v>
      </c>
      <c r="C91" s="125" t="s">
        <v>365</v>
      </c>
      <c r="D91" s="387">
        <f t="shared" si="20"/>
        <v>0</v>
      </c>
      <c r="E91" s="104">
        <f t="shared" si="8"/>
        <v>4</v>
      </c>
      <c r="F91" s="83">
        <f t="shared" si="21"/>
        <v>3337.4111999999996</v>
      </c>
      <c r="G91" s="83">
        <f t="shared" si="10"/>
        <v>0</v>
      </c>
      <c r="H91" s="483">
        <f t="shared" si="11"/>
        <v>0</v>
      </c>
      <c r="I91" s="83">
        <f>+'Costo adq'!C80*$I$1</f>
        <v>5329.5856000000003</v>
      </c>
      <c r="J91" s="83">
        <f t="shared" si="12"/>
        <v>0</v>
      </c>
      <c r="L91" s="54">
        <f>VLOOKUP(A91,'Precios oferta'!$A$30:$U$436,$B$5,FALSE)</f>
        <v>15105.7744</v>
      </c>
      <c r="M91" s="48">
        <f>VLOOKUP(A91,'Precios piso'!$A$30:$U$436,$B$5,FALSE)</f>
        <v>4449.8815999999997</v>
      </c>
      <c r="N91" s="105">
        <f t="shared" si="13"/>
        <v>0.70541850538956807</v>
      </c>
      <c r="O91" s="131">
        <f t="shared" si="9"/>
        <v>3915.8958079999998</v>
      </c>
      <c r="P91" s="388">
        <f t="shared" si="14"/>
        <v>0.74076828474281997</v>
      </c>
      <c r="Q91" s="131">
        <f t="shared" si="15"/>
        <v>3559.9052799999999</v>
      </c>
      <c r="R91" s="105">
        <f t="shared" si="16"/>
        <v>0.76433480431165446</v>
      </c>
      <c r="S91" s="131">
        <f t="shared" si="17"/>
        <v>3337.4111999999996</v>
      </c>
      <c r="T91" s="94">
        <f t="shared" si="18"/>
        <v>0.77906387904217611</v>
      </c>
      <c r="V91" s="82"/>
      <c r="W91" s="504">
        <v>43</v>
      </c>
      <c r="X91" s="506" t="s">
        <v>696</v>
      </c>
      <c r="Y91" s="508">
        <v>0</v>
      </c>
      <c r="Z91" s="403">
        <v>0</v>
      </c>
      <c r="AA91" s="407">
        <f t="shared" si="19"/>
        <v>0.77906387904217611</v>
      </c>
      <c r="AB91" s="411"/>
      <c r="AC91" s="446"/>
    </row>
    <row r="92" spans="1:29">
      <c r="A92" s="67">
        <v>44</v>
      </c>
      <c r="B92" s="74" t="s">
        <v>63</v>
      </c>
      <c r="C92" s="125" t="s">
        <v>365</v>
      </c>
      <c r="D92" s="387">
        <f t="shared" si="20"/>
        <v>0</v>
      </c>
      <c r="E92" s="104">
        <f t="shared" si="8"/>
        <v>4</v>
      </c>
      <c r="F92" s="83">
        <f t="shared" si="21"/>
        <v>14457.743999999999</v>
      </c>
      <c r="G92" s="83">
        <f t="shared" si="10"/>
        <v>0</v>
      </c>
      <c r="H92" s="483">
        <f t="shared" si="11"/>
        <v>0</v>
      </c>
      <c r="I92" s="83">
        <f>+'Costo adq'!C81*$I$1</f>
        <v>21717.214400000001</v>
      </c>
      <c r="J92" s="83">
        <f t="shared" si="12"/>
        <v>0</v>
      </c>
      <c r="L92" s="54">
        <f>VLOOKUP(A92,'Precios oferta'!$A$30:$U$436,$B$5,FALSE)</f>
        <v>44168.790399999998</v>
      </c>
      <c r="M92" s="48">
        <f>VLOOKUP(A92,'Precios piso'!$A$30:$U$436,$B$5,FALSE)</f>
        <v>19276.991999999998</v>
      </c>
      <c r="N92" s="105">
        <f t="shared" si="13"/>
        <v>0.56356078974714241</v>
      </c>
      <c r="O92" s="131">
        <f t="shared" si="9"/>
        <v>16963.752959999998</v>
      </c>
      <c r="P92" s="388">
        <f t="shared" si="14"/>
        <v>0.61593349497748529</v>
      </c>
      <c r="Q92" s="131">
        <f t="shared" si="15"/>
        <v>15421.593599999998</v>
      </c>
      <c r="R92" s="105">
        <f t="shared" si="16"/>
        <v>0.65084863179771391</v>
      </c>
      <c r="S92" s="131">
        <f t="shared" si="17"/>
        <v>14457.743999999999</v>
      </c>
      <c r="T92" s="94">
        <f t="shared" si="18"/>
        <v>0.67267059231035686</v>
      </c>
      <c r="V92" s="82"/>
      <c r="W92" s="504">
        <v>44</v>
      </c>
      <c r="X92" s="506" t="s">
        <v>697</v>
      </c>
      <c r="Y92" s="508">
        <v>0</v>
      </c>
      <c r="Z92" s="403">
        <v>0</v>
      </c>
      <c r="AA92" s="407">
        <f t="shared" si="19"/>
        <v>0.67267059231035686</v>
      </c>
      <c r="AB92" s="411"/>
      <c r="AC92" s="446">
        <v>0.65952080706179061</v>
      </c>
    </row>
    <row r="93" spans="1:29">
      <c r="A93" s="67">
        <v>45</v>
      </c>
      <c r="B93" s="74" t="s">
        <v>64</v>
      </c>
      <c r="C93" s="125" t="s">
        <v>365</v>
      </c>
      <c r="D93" s="387">
        <f t="shared" si="20"/>
        <v>30</v>
      </c>
      <c r="E93" s="104">
        <f t="shared" si="8"/>
        <v>4</v>
      </c>
      <c r="F93" s="83">
        <f t="shared" si="21"/>
        <v>6023.2403999999997</v>
      </c>
      <c r="G93" s="83">
        <f t="shared" si="10"/>
        <v>722788.848</v>
      </c>
      <c r="H93" s="483">
        <f t="shared" si="11"/>
        <v>0</v>
      </c>
      <c r="I93" s="83">
        <f>+'Costo adq'!C82*$I$1</f>
        <v>9941.2016000000003</v>
      </c>
      <c r="J93" s="83">
        <f t="shared" si="12"/>
        <v>1192944.192</v>
      </c>
      <c r="L93" s="54">
        <f>VLOOKUP(A93,'Precios oferta'!$A$30:$U$436,$B$5,FALSE)</f>
        <v>16750.438399999999</v>
      </c>
      <c r="M93" s="48">
        <f>VLOOKUP(A93,'Precios piso'!$A$30:$U$436,$B$5,FALSE)</f>
        <v>8030.9871999999996</v>
      </c>
      <c r="N93" s="105">
        <f t="shared" si="13"/>
        <v>0.52055062630480164</v>
      </c>
      <c r="O93" s="131">
        <f t="shared" si="9"/>
        <v>7067.268736</v>
      </c>
      <c r="P93" s="388">
        <f t="shared" si="14"/>
        <v>0.57808455114822543</v>
      </c>
      <c r="Q93" s="131">
        <f t="shared" si="15"/>
        <v>6424.7897599999997</v>
      </c>
      <c r="R93" s="105">
        <f t="shared" si="16"/>
        <v>0.6164405010438414</v>
      </c>
      <c r="S93" s="131">
        <f t="shared" si="17"/>
        <v>6023.2403999999997</v>
      </c>
      <c r="T93" s="94">
        <f t="shared" si="18"/>
        <v>0.64041296972860118</v>
      </c>
      <c r="V93" s="82"/>
      <c r="W93" s="504">
        <v>45</v>
      </c>
      <c r="X93" s="506" t="s">
        <v>698</v>
      </c>
      <c r="Y93" s="508">
        <v>30</v>
      </c>
      <c r="Z93" s="403">
        <v>0</v>
      </c>
      <c r="AA93" s="407">
        <f t="shared" si="19"/>
        <v>0.64041296972860118</v>
      </c>
      <c r="AB93" s="411"/>
      <c r="AC93" s="446"/>
    </row>
    <row r="94" spans="1:29">
      <c r="A94" s="67">
        <v>46</v>
      </c>
      <c r="B94" s="74" t="s">
        <v>65</v>
      </c>
      <c r="C94" s="125" t="s">
        <v>365</v>
      </c>
      <c r="D94" s="387">
        <f t="shared" si="20"/>
        <v>0</v>
      </c>
      <c r="E94" s="104">
        <f t="shared" si="8"/>
        <v>4</v>
      </c>
      <c r="F94" s="83">
        <f t="shared" si="21"/>
        <v>6023.2403999999997</v>
      </c>
      <c r="G94" s="83">
        <f t="shared" si="10"/>
        <v>0</v>
      </c>
      <c r="H94" s="483">
        <f t="shared" si="11"/>
        <v>0</v>
      </c>
      <c r="I94" s="83">
        <f>+'Costo adq'!C83*$I$1</f>
        <v>10338.980799999999</v>
      </c>
      <c r="J94" s="83">
        <f t="shared" si="12"/>
        <v>0</v>
      </c>
      <c r="L94" s="54">
        <f>VLOOKUP(A94,'Precios oferta'!$A$30:$U$436,$B$5,FALSE)</f>
        <v>16713.283199999998</v>
      </c>
      <c r="M94" s="48">
        <f>VLOOKUP(A94,'Precios piso'!$A$30:$U$436,$B$5,FALSE)</f>
        <v>8030.9871999999996</v>
      </c>
      <c r="N94" s="105">
        <f t="shared" si="13"/>
        <v>0.51948476526742504</v>
      </c>
      <c r="O94" s="131">
        <f t="shared" si="9"/>
        <v>7067.268736</v>
      </c>
      <c r="P94" s="388">
        <f t="shared" si="14"/>
        <v>0.57714659343533414</v>
      </c>
      <c r="Q94" s="131">
        <f t="shared" si="15"/>
        <v>6424.7897599999997</v>
      </c>
      <c r="R94" s="105">
        <f t="shared" si="16"/>
        <v>0.6155878122139401</v>
      </c>
      <c r="S94" s="131">
        <f t="shared" si="17"/>
        <v>6023.2403999999997</v>
      </c>
      <c r="T94" s="94">
        <f t="shared" si="18"/>
        <v>0.63961357395056884</v>
      </c>
      <c r="V94" s="82"/>
      <c r="W94" s="504">
        <v>46</v>
      </c>
      <c r="X94" s="506" t="s">
        <v>699</v>
      </c>
      <c r="Y94" s="508">
        <v>0</v>
      </c>
      <c r="Z94" s="403">
        <v>0</v>
      </c>
      <c r="AA94" s="407">
        <f t="shared" si="19"/>
        <v>0.63961357395056884</v>
      </c>
      <c r="AB94" s="411"/>
      <c r="AC94" s="446"/>
    </row>
    <row r="95" spans="1:29">
      <c r="A95" s="67">
        <v>47</v>
      </c>
      <c r="B95" s="74" t="s">
        <v>66</v>
      </c>
      <c r="C95" s="125" t="s">
        <v>365</v>
      </c>
      <c r="D95" s="387">
        <f t="shared" si="20"/>
        <v>0</v>
      </c>
      <c r="E95" s="104">
        <f t="shared" si="8"/>
        <v>4</v>
      </c>
      <c r="F95" s="83">
        <f t="shared" si="21"/>
        <v>11152.297200000001</v>
      </c>
      <c r="G95" s="83">
        <f t="shared" si="10"/>
        <v>0</v>
      </c>
      <c r="H95" s="483">
        <f t="shared" si="11"/>
        <v>0</v>
      </c>
      <c r="I95" s="83">
        <f>+'Costo adq'!C84*$I$1</f>
        <v>35761.879999999997</v>
      </c>
      <c r="J95" s="83">
        <f t="shared" si="12"/>
        <v>0</v>
      </c>
      <c r="L95" s="54">
        <f>VLOOKUP(A95,'Precios oferta'!$A$30:$U$436,$B$5,FALSE)</f>
        <v>68892.297600000005</v>
      </c>
      <c r="M95" s="48">
        <f>VLOOKUP(A95,'Precios piso'!$A$30:$U$436,$B$5,FALSE)</f>
        <v>14869.729600000001</v>
      </c>
      <c r="N95" s="105">
        <f t="shared" si="13"/>
        <v>0.78415976650486974</v>
      </c>
      <c r="O95" s="131">
        <f t="shared" si="9"/>
        <v>13085.362048000001</v>
      </c>
      <c r="P95" s="388">
        <f t="shared" si="14"/>
        <v>0.81006059452428536</v>
      </c>
      <c r="Q95" s="131">
        <f t="shared" si="15"/>
        <v>11895.78368</v>
      </c>
      <c r="R95" s="105">
        <f t="shared" si="16"/>
        <v>0.82732781320389581</v>
      </c>
      <c r="S95" s="131">
        <f t="shared" si="17"/>
        <v>11152.297200000001</v>
      </c>
      <c r="T95" s="94">
        <f t="shared" si="18"/>
        <v>0.83811982487865233</v>
      </c>
      <c r="V95" s="82"/>
      <c r="W95" s="504">
        <v>47</v>
      </c>
      <c r="X95" s="506" t="s">
        <v>700</v>
      </c>
      <c r="Y95" s="508">
        <v>0</v>
      </c>
      <c r="Z95" s="403">
        <v>0</v>
      </c>
      <c r="AA95" s="407">
        <f t="shared" si="19"/>
        <v>0.83811982487865233</v>
      </c>
      <c r="AB95" s="411"/>
      <c r="AC95" s="446"/>
    </row>
    <row r="96" spans="1:29">
      <c r="A96" s="67">
        <v>48</v>
      </c>
      <c r="B96" s="74" t="s">
        <v>67</v>
      </c>
      <c r="C96" s="125" t="s">
        <v>365</v>
      </c>
      <c r="D96" s="387">
        <f t="shared" si="20"/>
        <v>13</v>
      </c>
      <c r="E96" s="104">
        <f t="shared" si="8"/>
        <v>4</v>
      </c>
      <c r="F96" s="83">
        <f t="shared" si="21"/>
        <v>25115.822400000001</v>
      </c>
      <c r="G96" s="83">
        <f t="shared" si="10"/>
        <v>1306022.7648</v>
      </c>
      <c r="H96" s="483">
        <f t="shared" si="11"/>
        <v>0</v>
      </c>
      <c r="I96" s="83">
        <f>+'Costo adq'!C85*$I$1</f>
        <v>32510.799999999999</v>
      </c>
      <c r="J96" s="83">
        <f t="shared" si="12"/>
        <v>1690561.5999999999</v>
      </c>
      <c r="L96" s="54">
        <f>VLOOKUP(A96,'Precios oferta'!$A$30:$U$436,$B$5,FALSE)</f>
        <v>77866.371199999994</v>
      </c>
      <c r="M96" s="48">
        <f>VLOOKUP(A96,'Precios piso'!$A$30:$U$436,$B$5,FALSE)</f>
        <v>33487.763200000001</v>
      </c>
      <c r="N96" s="105">
        <f t="shared" si="13"/>
        <v>0.56993291604681839</v>
      </c>
      <c r="O96" s="131">
        <f t="shared" si="9"/>
        <v>29469.231616000001</v>
      </c>
      <c r="P96" s="388">
        <f t="shared" si="14"/>
        <v>0.62154096612120013</v>
      </c>
      <c r="Q96" s="131">
        <f t="shared" si="15"/>
        <v>26790.21056</v>
      </c>
      <c r="R96" s="105">
        <f t="shared" si="16"/>
        <v>0.65594633283745474</v>
      </c>
      <c r="S96" s="131">
        <f t="shared" si="17"/>
        <v>25115.822400000001</v>
      </c>
      <c r="T96" s="94">
        <f t="shared" si="18"/>
        <v>0.67744968703511377</v>
      </c>
      <c r="V96" s="82"/>
      <c r="W96" s="504">
        <v>48</v>
      </c>
      <c r="X96" s="506" t="s">
        <v>701</v>
      </c>
      <c r="Y96" s="508">
        <v>13</v>
      </c>
      <c r="Z96" s="403">
        <v>0</v>
      </c>
      <c r="AA96" s="407">
        <f t="shared" si="19"/>
        <v>0.67744968703511377</v>
      </c>
      <c r="AB96" s="411"/>
      <c r="AC96" s="446">
        <v>0.63916396820724164</v>
      </c>
    </row>
    <row r="97" spans="1:29">
      <c r="A97" s="67">
        <v>49</v>
      </c>
      <c r="B97" s="74" t="s">
        <v>68</v>
      </c>
      <c r="C97" s="125" t="s">
        <v>365</v>
      </c>
      <c r="D97" s="387">
        <f t="shared" si="20"/>
        <v>0</v>
      </c>
      <c r="E97" s="104">
        <f t="shared" si="8"/>
        <v>4</v>
      </c>
      <c r="F97" s="83">
        <f t="shared" si="21"/>
        <v>13768.4604</v>
      </c>
      <c r="G97" s="83">
        <f t="shared" si="10"/>
        <v>0</v>
      </c>
      <c r="H97" s="483">
        <f t="shared" si="11"/>
        <v>0</v>
      </c>
      <c r="I97" s="83">
        <f>+'Costo adq'!C86*$I$1</f>
        <v>21327.084800000001</v>
      </c>
      <c r="J97" s="83">
        <f t="shared" si="12"/>
        <v>0</v>
      </c>
      <c r="L97" s="54">
        <f>VLOOKUP(A97,'Precios oferta'!$A$30:$U$436,$B$5,FALSE)</f>
        <v>30669.432000000001</v>
      </c>
      <c r="M97" s="48">
        <f>VLOOKUP(A97,'Precios piso'!$A$30:$U$436,$B$5,FALSE)</f>
        <v>18357.947199999999</v>
      </c>
      <c r="N97" s="105">
        <f t="shared" si="13"/>
        <v>0.40142526278282564</v>
      </c>
      <c r="O97" s="131">
        <f t="shared" si="9"/>
        <v>16154.993535999998</v>
      </c>
      <c r="P97" s="388">
        <f t="shared" si="14"/>
        <v>0.47325423124888655</v>
      </c>
      <c r="Q97" s="131">
        <f t="shared" si="15"/>
        <v>14686.357759999999</v>
      </c>
      <c r="R97" s="105">
        <f t="shared" si="16"/>
        <v>0.52114021022626056</v>
      </c>
      <c r="S97" s="131">
        <f t="shared" si="17"/>
        <v>13768.4604</v>
      </c>
      <c r="T97" s="94">
        <f t="shared" si="18"/>
        <v>0.55106894708711918</v>
      </c>
      <c r="V97" s="82"/>
      <c r="W97" s="504">
        <v>49</v>
      </c>
      <c r="X97" s="506" t="s">
        <v>702</v>
      </c>
      <c r="Y97" s="508">
        <v>0</v>
      </c>
      <c r="Z97" s="403">
        <v>0</v>
      </c>
      <c r="AA97" s="407">
        <f t="shared" si="19"/>
        <v>0.55106894708711918</v>
      </c>
      <c r="AB97" s="411"/>
      <c r="AC97" s="446"/>
    </row>
    <row r="98" spans="1:29">
      <c r="A98" s="67">
        <v>50</v>
      </c>
      <c r="B98" s="74" t="s">
        <v>69</v>
      </c>
      <c r="C98" s="125" t="s">
        <v>365</v>
      </c>
      <c r="D98" s="387">
        <f t="shared" si="20"/>
        <v>16</v>
      </c>
      <c r="E98" s="104">
        <f t="shared" si="8"/>
        <v>4</v>
      </c>
      <c r="F98" s="83">
        <f t="shared" si="21"/>
        <v>5674.9103999999998</v>
      </c>
      <c r="G98" s="83">
        <f t="shared" si="10"/>
        <v>363194.26559999998</v>
      </c>
      <c r="H98" s="483">
        <f t="shared" si="11"/>
        <v>0</v>
      </c>
      <c r="I98" s="83">
        <f>+'Costo adq'!C87*$I$1</f>
        <v>8258.2896000000001</v>
      </c>
      <c r="J98" s="83">
        <f t="shared" si="12"/>
        <v>528530.5344</v>
      </c>
      <c r="L98" s="54">
        <f>VLOOKUP(A98,'Precios oferta'!$A$30:$U$436,$B$5,FALSE)</f>
        <v>15452.191999999999</v>
      </c>
      <c r="M98" s="48">
        <f>VLOOKUP(A98,'Precios piso'!$A$30:$U$436,$B$5,FALSE)</f>
        <v>7566.5472</v>
      </c>
      <c r="N98" s="105">
        <f t="shared" si="13"/>
        <v>0.51032531824611027</v>
      </c>
      <c r="O98" s="131">
        <f t="shared" si="9"/>
        <v>6658.5615360000002</v>
      </c>
      <c r="P98" s="388">
        <f t="shared" si="14"/>
        <v>0.56908628005657702</v>
      </c>
      <c r="Q98" s="131">
        <f t="shared" si="15"/>
        <v>6053.23776</v>
      </c>
      <c r="R98" s="105">
        <f t="shared" si="16"/>
        <v>0.60826025459688826</v>
      </c>
      <c r="S98" s="131">
        <f t="shared" si="17"/>
        <v>5674.9103999999998</v>
      </c>
      <c r="T98" s="94">
        <f t="shared" si="18"/>
        <v>0.6327439886845827</v>
      </c>
      <c r="V98" s="82"/>
      <c r="W98" s="504">
        <v>50</v>
      </c>
      <c r="X98" s="506" t="s">
        <v>703</v>
      </c>
      <c r="Y98" s="508">
        <v>16</v>
      </c>
      <c r="Z98" s="403">
        <v>0</v>
      </c>
      <c r="AA98" s="407">
        <f t="shared" si="19"/>
        <v>0.6327439886845827</v>
      </c>
      <c r="AB98" s="411"/>
      <c r="AC98" s="446"/>
    </row>
    <row r="99" spans="1:29">
      <c r="A99" s="67">
        <v>51</v>
      </c>
      <c r="B99" s="74" t="s">
        <v>70</v>
      </c>
      <c r="C99" s="125" t="s">
        <v>365</v>
      </c>
      <c r="D99" s="387">
        <f t="shared" si="20"/>
        <v>24</v>
      </c>
      <c r="E99" s="104">
        <f t="shared" si="8"/>
        <v>4</v>
      </c>
      <c r="F99" s="83">
        <f t="shared" si="21"/>
        <v>4647.1319999999996</v>
      </c>
      <c r="G99" s="83">
        <f t="shared" si="10"/>
        <v>446124.67199999996</v>
      </c>
      <c r="H99" s="483">
        <f t="shared" si="11"/>
        <v>0</v>
      </c>
      <c r="I99" s="83">
        <f>+'Costo adq'!C88*$I$1</f>
        <v>16255.4</v>
      </c>
      <c r="J99" s="83">
        <f t="shared" si="12"/>
        <v>1560518.4</v>
      </c>
      <c r="L99" s="54">
        <f>VLOOKUP(A99,'Precios oferta'!$A$30:$U$436,$B$5,FALSE)</f>
        <v>34278.950400000002</v>
      </c>
      <c r="M99" s="48">
        <f>VLOOKUP(A99,'Precios piso'!$A$30:$U$436,$B$5,FALSE)</f>
        <v>6196.1759999999995</v>
      </c>
      <c r="N99" s="105">
        <f t="shared" si="13"/>
        <v>0.81924254016832443</v>
      </c>
      <c r="O99" s="131">
        <f t="shared" si="9"/>
        <v>5452.6348799999996</v>
      </c>
      <c r="P99" s="388">
        <f t="shared" si="14"/>
        <v>0.84093343534812548</v>
      </c>
      <c r="Q99" s="131">
        <f t="shared" si="15"/>
        <v>4956.9407999999994</v>
      </c>
      <c r="R99" s="105">
        <f t="shared" si="16"/>
        <v>0.85539403213465959</v>
      </c>
      <c r="S99" s="131">
        <f t="shared" si="17"/>
        <v>4647.1319999999996</v>
      </c>
      <c r="T99" s="94">
        <f t="shared" si="18"/>
        <v>0.86443190512624335</v>
      </c>
      <c r="V99" s="82"/>
      <c r="W99" s="504">
        <v>51</v>
      </c>
      <c r="X99" s="506" t="s">
        <v>704</v>
      </c>
      <c r="Y99" s="508">
        <v>24</v>
      </c>
      <c r="Z99" s="403">
        <v>0</v>
      </c>
      <c r="AA99" s="407">
        <f t="shared" si="19"/>
        <v>0.86443190512624335</v>
      </c>
      <c r="AB99" s="411"/>
      <c r="AC99" s="446"/>
    </row>
    <row r="100" spans="1:29">
      <c r="A100" s="67">
        <v>52</v>
      </c>
      <c r="B100" s="74" t="s">
        <v>71</v>
      </c>
      <c r="C100" s="125" t="s">
        <v>365</v>
      </c>
      <c r="D100" s="387">
        <f t="shared" si="20"/>
        <v>36</v>
      </c>
      <c r="E100" s="104">
        <f t="shared" si="8"/>
        <v>4</v>
      </c>
      <c r="F100" s="83">
        <f t="shared" si="21"/>
        <v>5220.0324000000001</v>
      </c>
      <c r="G100" s="83">
        <f t="shared" si="10"/>
        <v>751684.66559999995</v>
      </c>
      <c r="H100" s="483">
        <f t="shared" si="11"/>
        <v>0</v>
      </c>
      <c r="I100" s="83">
        <f>+'Costo adq'!C89*$I$1</f>
        <v>8689.9455999999991</v>
      </c>
      <c r="J100" s="83">
        <f t="shared" si="12"/>
        <v>1251352.1664</v>
      </c>
      <c r="L100" s="54">
        <f>VLOOKUP(A100,'Precios oferta'!$A$30:$U$436,$B$5,FALSE)</f>
        <v>17232.3632</v>
      </c>
      <c r="M100" s="48">
        <f>VLOOKUP(A100,'Precios piso'!$A$30:$U$436,$B$5,FALSE)</f>
        <v>6960.0432000000001</v>
      </c>
      <c r="N100" s="105">
        <f t="shared" si="13"/>
        <v>0.59610628448221192</v>
      </c>
      <c r="O100" s="131">
        <f t="shared" si="9"/>
        <v>6124.8380159999997</v>
      </c>
      <c r="P100" s="388">
        <f t="shared" si="14"/>
        <v>0.6445735303443465</v>
      </c>
      <c r="Q100" s="131">
        <f t="shared" si="15"/>
        <v>5568.0345600000001</v>
      </c>
      <c r="R100" s="105">
        <f t="shared" si="16"/>
        <v>0.67688502758576952</v>
      </c>
      <c r="S100" s="131">
        <f t="shared" si="17"/>
        <v>5220.0324000000001</v>
      </c>
      <c r="T100" s="94">
        <f t="shared" si="18"/>
        <v>0.69707971336165897</v>
      </c>
      <c r="V100" s="82"/>
      <c r="W100" s="504">
        <v>52</v>
      </c>
      <c r="X100" s="506" t="s">
        <v>705</v>
      </c>
      <c r="Y100" s="508">
        <v>36</v>
      </c>
      <c r="Z100" s="403">
        <v>0</v>
      </c>
      <c r="AA100" s="407">
        <f t="shared" si="19"/>
        <v>0.69707971336165897</v>
      </c>
      <c r="AB100" s="411"/>
      <c r="AC100" s="446"/>
    </row>
    <row r="101" spans="1:29">
      <c r="A101" s="67">
        <v>53</v>
      </c>
      <c r="B101" s="74" t="s">
        <v>72</v>
      </c>
      <c r="C101" s="125" t="s">
        <v>365</v>
      </c>
      <c r="D101" s="387">
        <f t="shared" si="20"/>
        <v>0</v>
      </c>
      <c r="E101" s="104">
        <f t="shared" si="8"/>
        <v>4</v>
      </c>
      <c r="F101" s="83">
        <f t="shared" si="21"/>
        <v>7893.5675999999994</v>
      </c>
      <c r="G101" s="83">
        <f t="shared" si="10"/>
        <v>0</v>
      </c>
      <c r="H101" s="483">
        <f t="shared" si="11"/>
        <v>0</v>
      </c>
      <c r="I101" s="83">
        <f>+'Costo adq'!C90*$I$1</f>
        <v>55918.576000000001</v>
      </c>
      <c r="J101" s="83">
        <f t="shared" si="12"/>
        <v>0</v>
      </c>
      <c r="L101" s="54">
        <f>VLOOKUP(A101,'Precios oferta'!$A$30:$U$436,$B$5,FALSE)</f>
        <v>86779.247999999992</v>
      </c>
      <c r="M101" s="48">
        <f>VLOOKUP(A101,'Precios piso'!$A$30:$U$436,$B$5,FALSE)</f>
        <v>10524.756799999999</v>
      </c>
      <c r="N101" s="105">
        <f t="shared" si="13"/>
        <v>0.87871804558619826</v>
      </c>
      <c r="O101" s="131">
        <f t="shared" si="9"/>
        <v>9261.7859840000001</v>
      </c>
      <c r="P101" s="388">
        <f t="shared" si="14"/>
        <v>0.89327188011585446</v>
      </c>
      <c r="Q101" s="131">
        <f t="shared" si="15"/>
        <v>8419.8054400000001</v>
      </c>
      <c r="R101" s="105">
        <f t="shared" si="16"/>
        <v>0.90297443646895859</v>
      </c>
      <c r="S101" s="131">
        <f t="shared" si="17"/>
        <v>7893.5675999999994</v>
      </c>
      <c r="T101" s="94">
        <f t="shared" si="18"/>
        <v>0.90903853418964864</v>
      </c>
      <c r="V101" s="82"/>
      <c r="W101" s="504">
        <v>53</v>
      </c>
      <c r="X101" s="506" t="s">
        <v>706</v>
      </c>
      <c r="Y101" s="508">
        <v>0</v>
      </c>
      <c r="Z101" s="403">
        <v>0</v>
      </c>
      <c r="AA101" s="407">
        <f t="shared" si="19"/>
        <v>0.90903853418964864</v>
      </c>
      <c r="AB101" s="411"/>
      <c r="AC101" s="446"/>
    </row>
    <row r="102" spans="1:29">
      <c r="A102" s="67">
        <v>54</v>
      </c>
      <c r="B102" s="74" t="s">
        <v>73</v>
      </c>
      <c r="C102" s="125" t="s">
        <v>365</v>
      </c>
      <c r="D102" s="387">
        <f t="shared" si="20"/>
        <v>18</v>
      </c>
      <c r="E102" s="104">
        <f t="shared" si="8"/>
        <v>4</v>
      </c>
      <c r="F102" s="83">
        <f t="shared" si="21"/>
        <v>4126.6859999999997</v>
      </c>
      <c r="G102" s="83">
        <f t="shared" si="10"/>
        <v>297121.39199999999</v>
      </c>
      <c r="H102" s="483">
        <f t="shared" si="11"/>
        <v>0</v>
      </c>
      <c r="I102" s="83">
        <f>+'Costo adq'!C91*$I$1</f>
        <v>7152.3760000000002</v>
      </c>
      <c r="J102" s="83">
        <f t="shared" si="12"/>
        <v>514971.07200000004</v>
      </c>
      <c r="L102" s="54">
        <f>VLOOKUP(A102,'Precios oferta'!$A$30:$U$436,$B$5,FALSE)</f>
        <v>14153.945599999999</v>
      </c>
      <c r="M102" s="48">
        <f>VLOOKUP(A102,'Precios piso'!$A$30:$U$436,$B$5,FALSE)</f>
        <v>5502.2479999999996</v>
      </c>
      <c r="N102" s="105">
        <f t="shared" si="13"/>
        <v>0.61125694873378622</v>
      </c>
      <c r="O102" s="131">
        <f t="shared" si="9"/>
        <v>4841.9782399999995</v>
      </c>
      <c r="P102" s="388">
        <f t="shared" si="14"/>
        <v>0.65790611488573192</v>
      </c>
      <c r="Q102" s="131">
        <f t="shared" si="15"/>
        <v>4401.7983999999997</v>
      </c>
      <c r="R102" s="105">
        <f t="shared" si="16"/>
        <v>0.68900555898702898</v>
      </c>
      <c r="S102" s="131">
        <f t="shared" si="17"/>
        <v>4126.6859999999997</v>
      </c>
      <c r="T102" s="94">
        <f t="shared" si="18"/>
        <v>0.70844271155033978</v>
      </c>
      <c r="V102" s="82"/>
      <c r="W102" s="504">
        <v>54</v>
      </c>
      <c r="X102" s="506" t="s">
        <v>707</v>
      </c>
      <c r="Y102" s="508">
        <v>18</v>
      </c>
      <c r="Z102" s="403">
        <v>0</v>
      </c>
      <c r="AA102" s="407">
        <f t="shared" si="19"/>
        <v>0.70844271155033978</v>
      </c>
      <c r="AB102" s="411"/>
      <c r="AC102" s="446"/>
    </row>
    <row r="103" spans="1:29">
      <c r="A103" s="67">
        <v>55</v>
      </c>
      <c r="B103" s="74" t="s">
        <v>74</v>
      </c>
      <c r="C103" s="125" t="s">
        <v>365</v>
      </c>
      <c r="D103" s="387">
        <f t="shared" si="20"/>
        <v>0</v>
      </c>
      <c r="E103" s="104">
        <f t="shared" si="8"/>
        <v>4</v>
      </c>
      <c r="F103" s="83">
        <f t="shared" si="21"/>
        <v>12204.6636</v>
      </c>
      <c r="G103" s="83">
        <f t="shared" si="10"/>
        <v>0</v>
      </c>
      <c r="H103" s="483">
        <f t="shared" si="11"/>
        <v>0</v>
      </c>
      <c r="I103" s="83">
        <f>+'Costo adq'!C92*$I$1</f>
        <v>16446.64</v>
      </c>
      <c r="J103" s="83">
        <f t="shared" si="12"/>
        <v>0</v>
      </c>
      <c r="L103" s="54">
        <f>VLOOKUP(A103,'Precios oferta'!$A$30:$U$436,$B$5,FALSE)</f>
        <v>44304.297599999998</v>
      </c>
      <c r="M103" s="48">
        <f>VLOOKUP(A103,'Precios piso'!$A$30:$U$436,$B$5,FALSE)</f>
        <v>16272.8848</v>
      </c>
      <c r="N103" s="105">
        <f t="shared" si="13"/>
        <v>0.63270188939864824</v>
      </c>
      <c r="O103" s="131">
        <f t="shared" si="9"/>
        <v>14320.138623999999</v>
      </c>
      <c r="P103" s="388">
        <f t="shared" si="14"/>
        <v>0.67677766267081052</v>
      </c>
      <c r="Q103" s="131">
        <f t="shared" si="15"/>
        <v>13018.307839999999</v>
      </c>
      <c r="R103" s="105">
        <f t="shared" si="16"/>
        <v>0.70616151151891859</v>
      </c>
      <c r="S103" s="131">
        <f t="shared" si="17"/>
        <v>12204.6636</v>
      </c>
      <c r="T103" s="94">
        <f t="shared" si="18"/>
        <v>0.72452641704898624</v>
      </c>
      <c r="V103" s="82"/>
      <c r="W103" s="504">
        <v>55</v>
      </c>
      <c r="X103" s="506" t="s">
        <v>708</v>
      </c>
      <c r="Y103" s="508">
        <v>0</v>
      </c>
      <c r="Z103" s="403">
        <v>0</v>
      </c>
      <c r="AA103" s="407">
        <f t="shared" si="19"/>
        <v>0.72452641704898624</v>
      </c>
      <c r="AB103" s="411"/>
      <c r="AC103" s="446"/>
    </row>
    <row r="104" spans="1:29">
      <c r="A104" s="67">
        <v>56</v>
      </c>
      <c r="B104" s="74" t="s">
        <v>75</v>
      </c>
      <c r="C104" s="125" t="s">
        <v>365</v>
      </c>
      <c r="D104" s="387">
        <f t="shared" si="20"/>
        <v>16</v>
      </c>
      <c r="E104" s="104">
        <f t="shared" si="8"/>
        <v>4</v>
      </c>
      <c r="F104" s="83">
        <f t="shared" si="21"/>
        <v>5632.2911999999997</v>
      </c>
      <c r="G104" s="83">
        <f t="shared" si="10"/>
        <v>360466.63679999998</v>
      </c>
      <c r="H104" s="483">
        <f t="shared" si="11"/>
        <v>0</v>
      </c>
      <c r="I104" s="83">
        <f>+'Costo adq'!C93*$I$1</f>
        <v>7022.3328000000001</v>
      </c>
      <c r="J104" s="83">
        <f t="shared" si="12"/>
        <v>449429.29920000001</v>
      </c>
      <c r="L104" s="54">
        <f>VLOOKUP(A104,'Precios oferta'!$A$30:$U$436,$B$5,FALSE)</f>
        <v>11954.1392</v>
      </c>
      <c r="M104" s="48">
        <f>VLOOKUP(A104,'Precios piso'!$A$30:$U$436,$B$5,FALSE)</f>
        <v>7509.7215999999999</v>
      </c>
      <c r="N104" s="105">
        <f t="shared" si="13"/>
        <v>0.37178901179266843</v>
      </c>
      <c r="O104" s="131">
        <f t="shared" si="9"/>
        <v>6608.5550080000003</v>
      </c>
      <c r="P104" s="388">
        <f t="shared" si="14"/>
        <v>0.44717433037754817</v>
      </c>
      <c r="Q104" s="131">
        <f t="shared" si="15"/>
        <v>6007.7772800000002</v>
      </c>
      <c r="R104" s="105">
        <f t="shared" si="16"/>
        <v>0.49743120943413466</v>
      </c>
      <c r="S104" s="131">
        <f t="shared" si="17"/>
        <v>5632.2911999999997</v>
      </c>
      <c r="T104" s="94">
        <f t="shared" si="18"/>
        <v>0.52884175884450135</v>
      </c>
      <c r="V104" s="82"/>
      <c r="W104" s="504">
        <v>56</v>
      </c>
      <c r="X104" s="506" t="s">
        <v>709</v>
      </c>
      <c r="Y104" s="508">
        <v>16</v>
      </c>
      <c r="Z104" s="403">
        <v>0</v>
      </c>
      <c r="AA104" s="407">
        <f t="shared" si="19"/>
        <v>0.52884175884450135</v>
      </c>
      <c r="AB104" s="411"/>
      <c r="AC104" s="446"/>
    </row>
    <row r="105" spans="1:29">
      <c r="A105" s="67">
        <v>57</v>
      </c>
      <c r="B105" s="74" t="s">
        <v>76</v>
      </c>
      <c r="C105" s="125" t="s">
        <v>365</v>
      </c>
      <c r="D105" s="387">
        <f t="shared" si="20"/>
        <v>0</v>
      </c>
      <c r="E105" s="104">
        <f t="shared" si="8"/>
        <v>4</v>
      </c>
      <c r="F105" s="83">
        <f t="shared" si="21"/>
        <v>5377.3955999999998</v>
      </c>
      <c r="G105" s="83">
        <f t="shared" si="10"/>
        <v>0</v>
      </c>
      <c r="H105" s="483">
        <f t="shared" si="11"/>
        <v>0</v>
      </c>
      <c r="I105" s="83">
        <f>+'Costo adq'!C94*$I$1</f>
        <v>14263.2256</v>
      </c>
      <c r="J105" s="83">
        <f t="shared" si="12"/>
        <v>0</v>
      </c>
      <c r="L105" s="54">
        <f>VLOOKUP(A105,'Precios oferta'!$A$30:$U$436,$B$5,FALSE)</f>
        <v>14921.091199999999</v>
      </c>
      <c r="M105" s="48">
        <f>VLOOKUP(A105,'Precios piso'!$A$30:$U$436,$B$5,FALSE)</f>
        <v>7169.8608000000004</v>
      </c>
      <c r="N105" s="105">
        <f t="shared" si="13"/>
        <v>0.51948147063131678</v>
      </c>
      <c r="O105" s="131">
        <f t="shared" si="9"/>
        <v>6309.4775040000004</v>
      </c>
      <c r="P105" s="388">
        <f t="shared" si="14"/>
        <v>0.57714369415555877</v>
      </c>
      <c r="Q105" s="131">
        <f t="shared" si="15"/>
        <v>5735.8886400000001</v>
      </c>
      <c r="R105" s="105">
        <f t="shared" si="16"/>
        <v>0.61558517650505351</v>
      </c>
      <c r="S105" s="131">
        <f t="shared" si="17"/>
        <v>5377.3955999999998</v>
      </c>
      <c r="T105" s="94">
        <f t="shared" si="18"/>
        <v>0.63961110297348767</v>
      </c>
      <c r="V105" s="82"/>
      <c r="W105" s="504">
        <v>57</v>
      </c>
      <c r="X105" s="506" t="s">
        <v>710</v>
      </c>
      <c r="Y105" s="508">
        <v>0</v>
      </c>
      <c r="Z105" s="403">
        <v>0</v>
      </c>
      <c r="AA105" s="407">
        <f t="shared" si="19"/>
        <v>0.63961110297348767</v>
      </c>
      <c r="AB105" s="411"/>
      <c r="AC105" s="446"/>
    </row>
    <row r="106" spans="1:29">
      <c r="A106" s="67">
        <v>58</v>
      </c>
      <c r="B106" s="74" t="s">
        <v>77</v>
      </c>
      <c r="C106" s="125" t="s">
        <v>365</v>
      </c>
      <c r="D106" s="387">
        <f t="shared" si="20"/>
        <v>0</v>
      </c>
      <c r="E106" s="104">
        <f t="shared" si="8"/>
        <v>4</v>
      </c>
      <c r="F106" s="83">
        <f t="shared" si="21"/>
        <v>5892.924</v>
      </c>
      <c r="G106" s="83">
        <f t="shared" si="10"/>
        <v>0</v>
      </c>
      <c r="H106" s="483">
        <f t="shared" si="11"/>
        <v>0</v>
      </c>
      <c r="I106" s="83">
        <f>+'Costo adq'!C95*$I$1</f>
        <v>10416.569600000001</v>
      </c>
      <c r="J106" s="83">
        <f t="shared" si="12"/>
        <v>0</v>
      </c>
      <c r="L106" s="54">
        <f>VLOOKUP(A106,'Precios oferta'!$A$30:$U$436,$B$5,FALSE)</f>
        <v>44082.459199999998</v>
      </c>
      <c r="M106" s="48">
        <f>VLOOKUP(A106,'Precios piso'!$A$30:$U$436,$B$5,FALSE)</f>
        <v>7857.232</v>
      </c>
      <c r="N106" s="105">
        <f t="shared" si="13"/>
        <v>0.82176057909219369</v>
      </c>
      <c r="O106" s="131">
        <f t="shared" si="9"/>
        <v>6914.3641600000001</v>
      </c>
      <c r="P106" s="388">
        <f t="shared" si="14"/>
        <v>0.84314930960113044</v>
      </c>
      <c r="Q106" s="131">
        <f t="shared" si="15"/>
        <v>6285.7856000000002</v>
      </c>
      <c r="R106" s="105">
        <f t="shared" si="16"/>
        <v>0.85740846327375486</v>
      </c>
      <c r="S106" s="131">
        <f t="shared" si="17"/>
        <v>5892.924</v>
      </c>
      <c r="T106" s="94">
        <f t="shared" si="18"/>
        <v>0.86632043431914529</v>
      </c>
      <c r="V106" s="82"/>
      <c r="W106" s="504">
        <v>58</v>
      </c>
      <c r="X106" s="506" t="s">
        <v>711</v>
      </c>
      <c r="Y106" s="508">
        <v>0</v>
      </c>
      <c r="Z106" s="403">
        <v>0</v>
      </c>
      <c r="AA106" s="407">
        <f t="shared" si="19"/>
        <v>0.86632043431914529</v>
      </c>
      <c r="AB106" s="411"/>
      <c r="AC106" s="446"/>
    </row>
    <row r="107" spans="1:29">
      <c r="A107" s="67">
        <v>59</v>
      </c>
      <c r="B107" s="74" t="s">
        <v>78</v>
      </c>
      <c r="C107" s="125" t="s">
        <v>365</v>
      </c>
      <c r="D107" s="387">
        <f t="shared" si="20"/>
        <v>0</v>
      </c>
      <c r="E107" s="104">
        <f t="shared" si="8"/>
        <v>4</v>
      </c>
      <c r="F107" s="83">
        <f t="shared" si="21"/>
        <v>3734.0976000000001</v>
      </c>
      <c r="G107" s="83">
        <f t="shared" si="10"/>
        <v>0</v>
      </c>
      <c r="H107" s="483">
        <f t="shared" si="11"/>
        <v>0</v>
      </c>
      <c r="I107" s="83">
        <f>+'Costo adq'!C96*$I$1</f>
        <v>6337.1472000000003</v>
      </c>
      <c r="J107" s="83">
        <f t="shared" si="12"/>
        <v>0</v>
      </c>
      <c r="L107" s="54">
        <f>VLOOKUP(A107,'Precios oferta'!$A$30:$U$436,$B$5,FALSE)</f>
        <v>19827.763200000001</v>
      </c>
      <c r="M107" s="48">
        <f>VLOOKUP(A107,'Precios piso'!$A$30:$U$436,$B$5,FALSE)</f>
        <v>4978.7968000000001</v>
      </c>
      <c r="N107" s="105">
        <f t="shared" si="13"/>
        <v>0.74889770723104054</v>
      </c>
      <c r="O107" s="131">
        <f t="shared" si="9"/>
        <v>4381.3411839999999</v>
      </c>
      <c r="P107" s="388">
        <f t="shared" si="14"/>
        <v>0.77902998236331578</v>
      </c>
      <c r="Q107" s="131">
        <f t="shared" si="15"/>
        <v>3983.0374400000001</v>
      </c>
      <c r="R107" s="105">
        <f t="shared" si="16"/>
        <v>0.79911816578483252</v>
      </c>
      <c r="S107" s="131">
        <f t="shared" si="17"/>
        <v>3734.0976000000001</v>
      </c>
      <c r="T107" s="94">
        <f t="shared" si="18"/>
        <v>0.81167328042328046</v>
      </c>
      <c r="V107" s="82"/>
      <c r="W107" s="504">
        <v>59</v>
      </c>
      <c r="X107" s="506" t="s">
        <v>712</v>
      </c>
      <c r="Y107" s="508">
        <v>0</v>
      </c>
      <c r="Z107" s="403">
        <v>0</v>
      </c>
      <c r="AA107" s="407">
        <f t="shared" si="19"/>
        <v>0.81167328042328046</v>
      </c>
      <c r="AB107" s="411"/>
      <c r="AC107" s="446"/>
    </row>
    <row r="108" spans="1:29">
      <c r="A108" s="67">
        <v>60</v>
      </c>
      <c r="B108" s="74" t="s">
        <v>79</v>
      </c>
      <c r="C108" s="125" t="s">
        <v>365</v>
      </c>
      <c r="D108" s="387">
        <f t="shared" si="20"/>
        <v>50</v>
      </c>
      <c r="E108" s="104">
        <f t="shared" si="8"/>
        <v>4</v>
      </c>
      <c r="F108" s="83">
        <f t="shared" si="21"/>
        <v>4517.6352000000006</v>
      </c>
      <c r="G108" s="83">
        <f t="shared" si="10"/>
        <v>903527.04000000015</v>
      </c>
      <c r="H108" s="483">
        <f t="shared" si="11"/>
        <v>0</v>
      </c>
      <c r="I108" s="83">
        <f>+'Costo adq'!C97*$I$1</f>
        <v>7282.4192000000003</v>
      </c>
      <c r="J108" s="83">
        <f t="shared" si="12"/>
        <v>1456483.84</v>
      </c>
      <c r="L108" s="54">
        <f>VLOOKUP(A108,'Precios oferta'!$A$30:$U$436,$B$5,FALSE)</f>
        <v>12386.887999999999</v>
      </c>
      <c r="M108" s="48">
        <f>VLOOKUP(A108,'Precios piso'!$A$30:$U$436,$B$5,FALSE)</f>
        <v>6023.5136000000002</v>
      </c>
      <c r="N108" s="105">
        <f t="shared" si="13"/>
        <v>0.51371857079841199</v>
      </c>
      <c r="O108" s="131">
        <f t="shared" si="9"/>
        <v>5300.6919680000001</v>
      </c>
      <c r="P108" s="388">
        <f t="shared" si="14"/>
        <v>0.57207234230260251</v>
      </c>
      <c r="Q108" s="131">
        <f t="shared" si="15"/>
        <v>4818.81088</v>
      </c>
      <c r="R108" s="105">
        <f t="shared" si="16"/>
        <v>0.61097485663872964</v>
      </c>
      <c r="S108" s="131">
        <f t="shared" si="17"/>
        <v>4517.6352000000006</v>
      </c>
      <c r="T108" s="94">
        <f t="shared" si="18"/>
        <v>0.63528892809880899</v>
      </c>
      <c r="V108" s="82"/>
      <c r="W108" s="504">
        <v>60</v>
      </c>
      <c r="X108" s="506" t="s">
        <v>713</v>
      </c>
      <c r="Y108" s="508">
        <v>50</v>
      </c>
      <c r="Z108" s="403">
        <v>0</v>
      </c>
      <c r="AA108" s="407">
        <f t="shared" si="19"/>
        <v>0.63528892809880899</v>
      </c>
      <c r="AB108" s="411"/>
      <c r="AC108" s="446">
        <v>0.61407766990291268</v>
      </c>
    </row>
    <row r="109" spans="1:29">
      <c r="A109" s="67">
        <v>61</v>
      </c>
      <c r="B109" s="74" t="s">
        <v>80</v>
      </c>
      <c r="C109" s="125" t="s">
        <v>365</v>
      </c>
      <c r="D109" s="387">
        <f t="shared" si="20"/>
        <v>0</v>
      </c>
      <c r="E109" s="104">
        <f t="shared" si="8"/>
        <v>4</v>
      </c>
      <c r="F109" s="83">
        <f t="shared" si="21"/>
        <v>6026.5187999999998</v>
      </c>
      <c r="G109" s="83">
        <f t="shared" si="10"/>
        <v>0</v>
      </c>
      <c r="H109" s="483">
        <f t="shared" si="11"/>
        <v>0</v>
      </c>
      <c r="I109" s="83">
        <f>+'Costo adq'!C98*$I$1</f>
        <v>7678.0127999999995</v>
      </c>
      <c r="J109" s="83">
        <f t="shared" si="12"/>
        <v>0</v>
      </c>
      <c r="L109" s="54">
        <f>VLOOKUP(A109,'Precios oferta'!$A$30:$U$436,$B$5,FALSE)</f>
        <v>15773.475200000001</v>
      </c>
      <c r="M109" s="48">
        <f>VLOOKUP(A109,'Precios piso'!$A$30:$U$436,$B$5,FALSE)</f>
        <v>8035.3584000000001</v>
      </c>
      <c r="N109" s="105">
        <f t="shared" si="13"/>
        <v>0.49057780241097415</v>
      </c>
      <c r="O109" s="131">
        <f t="shared" si="9"/>
        <v>7071.1153919999997</v>
      </c>
      <c r="P109" s="388">
        <f t="shared" si="14"/>
        <v>0.55170846612165725</v>
      </c>
      <c r="Q109" s="131">
        <f t="shared" si="15"/>
        <v>6428.2867200000001</v>
      </c>
      <c r="R109" s="105">
        <f t="shared" si="16"/>
        <v>0.59246224192877928</v>
      </c>
      <c r="S109" s="131">
        <f t="shared" si="17"/>
        <v>6026.5187999999998</v>
      </c>
      <c r="T109" s="94">
        <f t="shared" si="18"/>
        <v>0.61793335180823061</v>
      </c>
      <c r="V109" s="82"/>
      <c r="W109" s="504">
        <v>61</v>
      </c>
      <c r="X109" s="506" t="s">
        <v>714</v>
      </c>
      <c r="Y109" s="508">
        <v>0</v>
      </c>
      <c r="Z109" s="403">
        <v>0</v>
      </c>
      <c r="AA109" s="407">
        <f t="shared" si="19"/>
        <v>0.61793335180823061</v>
      </c>
      <c r="AB109" s="411"/>
      <c r="AC109" s="446">
        <v>0.60072762814943526</v>
      </c>
    </row>
    <row r="110" spans="1:29">
      <c r="A110" s="67">
        <v>62</v>
      </c>
      <c r="B110" s="74" t="s">
        <v>81</v>
      </c>
      <c r="C110" s="125" t="s">
        <v>365</v>
      </c>
      <c r="D110" s="387">
        <f t="shared" si="20"/>
        <v>0</v>
      </c>
      <c r="E110" s="104">
        <f t="shared" si="8"/>
        <v>4</v>
      </c>
      <c r="F110" s="83">
        <f t="shared" si="21"/>
        <v>7602.6095999999998</v>
      </c>
      <c r="G110" s="83">
        <f t="shared" si="10"/>
        <v>0</v>
      </c>
      <c r="H110" s="483">
        <f t="shared" si="11"/>
        <v>0</v>
      </c>
      <c r="I110" s="83">
        <f>+'Costo adq'!C99*$I$1</f>
        <v>13074.2592</v>
      </c>
      <c r="J110" s="83">
        <f t="shared" si="12"/>
        <v>0</v>
      </c>
      <c r="L110" s="54">
        <f>VLOOKUP(A110,'Precios oferta'!$A$30:$U$436,$B$5,FALSE)</f>
        <v>23845.988799999999</v>
      </c>
      <c r="M110" s="48">
        <f>VLOOKUP(A110,'Precios piso'!$A$30:$U$436,$B$5,FALSE)</f>
        <v>10136.8128</v>
      </c>
      <c r="N110" s="105">
        <f t="shared" si="13"/>
        <v>0.57490490811603501</v>
      </c>
      <c r="O110" s="131">
        <f t="shared" si="9"/>
        <v>8920.3952639999989</v>
      </c>
      <c r="P110" s="388">
        <f t="shared" si="14"/>
        <v>0.62591631914211088</v>
      </c>
      <c r="Q110" s="131">
        <f t="shared" si="15"/>
        <v>8109.4502400000001</v>
      </c>
      <c r="R110" s="105">
        <f t="shared" si="16"/>
        <v>0.65992392649282805</v>
      </c>
      <c r="S110" s="131">
        <f t="shared" si="17"/>
        <v>7602.6095999999998</v>
      </c>
      <c r="T110" s="94">
        <f t="shared" si="18"/>
        <v>0.68117868108702628</v>
      </c>
      <c r="V110" s="82"/>
      <c r="W110" s="504">
        <v>62</v>
      </c>
      <c r="X110" s="506" t="s">
        <v>715</v>
      </c>
      <c r="Y110" s="508">
        <v>0</v>
      </c>
      <c r="Z110" s="403">
        <v>0</v>
      </c>
      <c r="AA110" s="407">
        <f t="shared" si="19"/>
        <v>0.68117868108702628</v>
      </c>
      <c r="AB110" s="411"/>
      <c r="AC110" s="446"/>
    </row>
    <row r="111" spans="1:29">
      <c r="A111" s="67">
        <v>63</v>
      </c>
      <c r="B111" s="74" t="s">
        <v>82</v>
      </c>
      <c r="C111" s="125" t="s">
        <v>365</v>
      </c>
      <c r="D111" s="387">
        <f t="shared" si="20"/>
        <v>0</v>
      </c>
      <c r="E111" s="104">
        <f t="shared" si="8"/>
        <v>4</v>
      </c>
      <c r="F111" s="83">
        <f t="shared" si="21"/>
        <v>8670.5483999999997</v>
      </c>
      <c r="G111" s="83">
        <f t="shared" si="10"/>
        <v>0</v>
      </c>
      <c r="H111" s="483">
        <f t="shared" si="11"/>
        <v>0</v>
      </c>
      <c r="I111" s="83">
        <f>+'Costo adq'!C100*$I$1</f>
        <v>9846.1280000000006</v>
      </c>
      <c r="J111" s="83">
        <f t="shared" si="12"/>
        <v>0</v>
      </c>
      <c r="L111" s="54">
        <f>VLOOKUP(A111,'Precios oferta'!$A$30:$U$436,$B$5,FALSE)</f>
        <v>25626.16</v>
      </c>
      <c r="M111" s="48">
        <f>VLOOKUP(A111,'Precios piso'!$A$30:$U$436,$B$5,FALSE)</f>
        <v>11560.7312</v>
      </c>
      <c r="N111" s="105">
        <f t="shared" si="13"/>
        <v>0.54886993603411516</v>
      </c>
      <c r="O111" s="131">
        <f t="shared" si="9"/>
        <v>10173.443456000001</v>
      </c>
      <c r="P111" s="388">
        <f t="shared" si="14"/>
        <v>0.60300554371002124</v>
      </c>
      <c r="Q111" s="131">
        <f t="shared" si="15"/>
        <v>9248.5849600000001</v>
      </c>
      <c r="R111" s="105">
        <f t="shared" si="16"/>
        <v>0.63909594882729204</v>
      </c>
      <c r="S111" s="131">
        <f t="shared" si="17"/>
        <v>8670.5483999999997</v>
      </c>
      <c r="T111" s="94">
        <f t="shared" si="18"/>
        <v>0.66165245202558642</v>
      </c>
      <c r="V111" s="82"/>
      <c r="W111" s="504">
        <v>63</v>
      </c>
      <c r="X111" s="506" t="s">
        <v>716</v>
      </c>
      <c r="Y111" s="508">
        <v>0</v>
      </c>
      <c r="Z111" s="403">
        <v>0</v>
      </c>
      <c r="AA111" s="407">
        <f t="shared" si="19"/>
        <v>0.66165245202558642</v>
      </c>
      <c r="AB111" s="411"/>
      <c r="AC111" s="446"/>
    </row>
    <row r="112" spans="1:29">
      <c r="A112" s="67">
        <v>64</v>
      </c>
      <c r="B112" s="74" t="s">
        <v>83</v>
      </c>
      <c r="C112" s="125" t="s">
        <v>365</v>
      </c>
      <c r="D112" s="387">
        <f t="shared" si="20"/>
        <v>60</v>
      </c>
      <c r="E112" s="104">
        <f t="shared" si="8"/>
        <v>4</v>
      </c>
      <c r="F112" s="83">
        <f t="shared" si="21"/>
        <v>938.44200000000001</v>
      </c>
      <c r="G112" s="83">
        <f t="shared" si="10"/>
        <v>225226.08000000002</v>
      </c>
      <c r="H112" s="483">
        <f t="shared" si="11"/>
        <v>0</v>
      </c>
      <c r="I112" s="83">
        <f>+'Costo adq'!C101*$I$1</f>
        <v>2971.3231999999998</v>
      </c>
      <c r="J112" s="83">
        <f t="shared" si="12"/>
        <v>713117.56799999997</v>
      </c>
      <c r="L112" s="54">
        <f>VLOOKUP(A112,'Precios oferta'!$A$30:$U$436,$B$5,FALSE)</f>
        <v>5722.9935999999998</v>
      </c>
      <c r="M112" s="48">
        <f>VLOOKUP(A112,'Precios piso'!$A$30:$U$436,$B$5,FALSE)</f>
        <v>1251.2560000000001</v>
      </c>
      <c r="N112" s="105">
        <f t="shared" si="13"/>
        <v>0.78136337597861372</v>
      </c>
      <c r="O112" s="131">
        <f t="shared" si="9"/>
        <v>1101.10528</v>
      </c>
      <c r="P112" s="388">
        <f t="shared" si="14"/>
        <v>0.80759977086118007</v>
      </c>
      <c r="Q112" s="131">
        <f t="shared" si="15"/>
        <v>1001.0048</v>
      </c>
      <c r="R112" s="105">
        <f t="shared" si="16"/>
        <v>0.82509070078289093</v>
      </c>
      <c r="S112" s="131">
        <f t="shared" si="17"/>
        <v>938.44200000000001</v>
      </c>
      <c r="T112" s="94">
        <f t="shared" si="18"/>
        <v>0.83602253198396026</v>
      </c>
      <c r="V112" s="82"/>
      <c r="W112" s="504">
        <v>64</v>
      </c>
      <c r="X112" s="506" t="s">
        <v>717</v>
      </c>
      <c r="Y112" s="508">
        <v>60</v>
      </c>
      <c r="Z112" s="403">
        <v>0</v>
      </c>
      <c r="AA112" s="407">
        <f t="shared" si="19"/>
        <v>0.83602253198396026</v>
      </c>
      <c r="AB112" s="411"/>
      <c r="AC112" s="446">
        <v>0.81679999999999997</v>
      </c>
    </row>
    <row r="113" spans="1:29">
      <c r="A113" s="67">
        <v>65</v>
      </c>
      <c r="B113" s="74" t="s">
        <v>84</v>
      </c>
      <c r="C113" s="125" t="s">
        <v>365</v>
      </c>
      <c r="D113" s="387">
        <f t="shared" si="20"/>
        <v>0</v>
      </c>
      <c r="E113" s="104">
        <f t="shared" ref="E113:E176" si="22">$B$6</f>
        <v>4</v>
      </c>
      <c r="F113" s="83">
        <f t="shared" si="21"/>
        <v>1158.9144000000001</v>
      </c>
      <c r="G113" s="83">
        <f t="shared" si="10"/>
        <v>0</v>
      </c>
      <c r="H113" s="483">
        <f t="shared" si="11"/>
        <v>0</v>
      </c>
      <c r="I113" s="83">
        <f>+'Costo adq'!C102*$I$1</f>
        <v>9843.9423999999999</v>
      </c>
      <c r="J113" s="83">
        <f t="shared" si="12"/>
        <v>0</v>
      </c>
      <c r="L113" s="54">
        <f>VLOOKUP(A113,'Precios oferta'!$A$30:$U$436,$B$5,FALSE)</f>
        <v>17639.977599999998</v>
      </c>
      <c r="M113" s="48">
        <f>VLOOKUP(A113,'Precios piso'!$A$30:$U$436,$B$5,FALSE)</f>
        <v>1545.2192</v>
      </c>
      <c r="N113" s="105">
        <f t="shared" si="13"/>
        <v>0.91240242844752817</v>
      </c>
      <c r="O113" s="131">
        <f t="shared" ref="O113:O176" si="23">+M113-(M113*$N$481)</f>
        <v>1359.7928959999999</v>
      </c>
      <c r="P113" s="388">
        <f t="shared" si="14"/>
        <v>0.92291413703382474</v>
      </c>
      <c r="Q113" s="131">
        <f t="shared" si="15"/>
        <v>1236.17536</v>
      </c>
      <c r="R113" s="105">
        <f t="shared" si="16"/>
        <v>0.92992194275802254</v>
      </c>
      <c r="S113" s="131">
        <f t="shared" si="17"/>
        <v>1158.9144000000001</v>
      </c>
      <c r="T113" s="94">
        <f t="shared" si="18"/>
        <v>0.9343018213356461</v>
      </c>
      <c r="V113" s="82"/>
      <c r="W113" s="504">
        <v>65</v>
      </c>
      <c r="X113" s="506" t="s">
        <v>718</v>
      </c>
      <c r="Y113" s="508">
        <v>0</v>
      </c>
      <c r="Z113" s="403">
        <v>0</v>
      </c>
      <c r="AA113" s="407">
        <f t="shared" si="19"/>
        <v>0.9343018213356461</v>
      </c>
      <c r="AB113" s="411"/>
      <c r="AC113" s="446"/>
    </row>
    <row r="114" spans="1:29">
      <c r="A114" s="67">
        <v>66</v>
      </c>
      <c r="B114" s="74" t="s">
        <v>85</v>
      </c>
      <c r="C114" s="125" t="s">
        <v>365</v>
      </c>
      <c r="D114" s="387">
        <f t="shared" ref="D114:D177" si="24">VLOOKUP(A114,$W$49:$Y$455,3,FALSE)</f>
        <v>60</v>
      </c>
      <c r="E114" s="104">
        <f t="shared" si="22"/>
        <v>4</v>
      </c>
      <c r="F114" s="83">
        <f t="shared" si="21"/>
        <v>1158.9144000000001</v>
      </c>
      <c r="G114" s="83">
        <f t="shared" ref="G114:G177" si="25">F114*E114*D114</f>
        <v>278139.45600000001</v>
      </c>
      <c r="H114" s="483">
        <f t="shared" ref="H114:H177" si="26">+F114-S114</f>
        <v>0</v>
      </c>
      <c r="I114" s="83">
        <f>+'Costo adq'!C103*$I$1</f>
        <v>2860.9504000000002</v>
      </c>
      <c r="J114" s="83">
        <f t="shared" ref="J114:J177" si="27">I114*E114*D114</f>
        <v>686628.09600000002</v>
      </c>
      <c r="L114" s="54">
        <f>VLOOKUP(A114,'Precios oferta'!$A$30:$U$436,$B$5,FALSE)</f>
        <v>7614.6304</v>
      </c>
      <c r="M114" s="48">
        <f>VLOOKUP(A114,'Precios piso'!$A$30:$U$436,$B$5,FALSE)</f>
        <v>1545.2192</v>
      </c>
      <c r="N114" s="105">
        <f t="shared" ref="N114:N177" si="28">1-(M114/L114)</f>
        <v>0.79707233065442018</v>
      </c>
      <c r="O114" s="131">
        <f t="shared" si="23"/>
        <v>1359.7928959999999</v>
      </c>
      <c r="P114" s="388">
        <f t="shared" ref="P114:P177" si="29">1-(O114/L114)</f>
        <v>0.82142365097588976</v>
      </c>
      <c r="Q114" s="131">
        <f t="shared" ref="Q114:Q177" si="30">+M114-(M114*20%)</f>
        <v>1236.17536</v>
      </c>
      <c r="R114" s="105">
        <f t="shared" ref="R114:R177" si="31">1-(Q114/L114)</f>
        <v>0.83765786452353619</v>
      </c>
      <c r="S114" s="131">
        <f t="shared" ref="S114:S177" si="32">+M114-(M114*25%)</f>
        <v>1158.9144000000001</v>
      </c>
      <c r="T114" s="94">
        <f t="shared" ref="T114:T177" si="33">1-(S114/L114)</f>
        <v>0.84780424799081511</v>
      </c>
      <c r="V114" s="82"/>
      <c r="W114" s="504">
        <v>66</v>
      </c>
      <c r="X114" s="506" t="s">
        <v>719</v>
      </c>
      <c r="Y114" s="508">
        <v>60</v>
      </c>
      <c r="Z114" s="403">
        <v>0</v>
      </c>
      <c r="AA114" s="407">
        <f t="shared" ref="AA114:AA177" si="34">VLOOKUP(W114,$A$49:$T$459,$AB$48,FALSE)</f>
        <v>0.84780424799081511</v>
      </c>
      <c r="AB114" s="411"/>
      <c r="AC114" s="446"/>
    </row>
    <row r="115" spans="1:29">
      <c r="A115" s="67">
        <v>67</v>
      </c>
      <c r="B115" s="74" t="s">
        <v>86</v>
      </c>
      <c r="C115" s="125" t="s">
        <v>365</v>
      </c>
      <c r="D115" s="387">
        <f t="shared" si="24"/>
        <v>0</v>
      </c>
      <c r="E115" s="104">
        <f t="shared" si="22"/>
        <v>4</v>
      </c>
      <c r="F115" s="83">
        <f t="shared" ref="F115:F178" si="35">IF($K$478=$L$48,L115,IF($K$478=$M$48,M115,IF($K$478=$O$48,O115,IF($K$478=$Q$48,Q115,IF($K$478=$S$48,S115,"ERROR")))))</f>
        <v>938.44200000000001</v>
      </c>
      <c r="G115" s="83">
        <f t="shared" si="25"/>
        <v>0</v>
      </c>
      <c r="H115" s="483">
        <f t="shared" si="26"/>
        <v>0</v>
      </c>
      <c r="I115" s="83">
        <f>+'Costo adq'!C104*$I$1</f>
        <v>9493.1535999999996</v>
      </c>
      <c r="J115" s="83">
        <f t="shared" si="27"/>
        <v>0</v>
      </c>
      <c r="L115" s="54">
        <f>VLOOKUP(A115,'Precios oferta'!$A$30:$U$436,$B$5,FALSE)</f>
        <v>16626.952000000001</v>
      </c>
      <c r="M115" s="48">
        <f>VLOOKUP(A115,'Precios piso'!$A$30:$U$436,$B$5,FALSE)</f>
        <v>1251.2560000000001</v>
      </c>
      <c r="N115" s="105">
        <f t="shared" si="28"/>
        <v>0.92474531712126196</v>
      </c>
      <c r="O115" s="131">
        <f t="shared" si="23"/>
        <v>1101.10528</v>
      </c>
      <c r="P115" s="388">
        <f t="shared" si="29"/>
        <v>0.93377587906671045</v>
      </c>
      <c r="Q115" s="131">
        <f t="shared" si="30"/>
        <v>1001.0048</v>
      </c>
      <c r="R115" s="105">
        <f t="shared" si="31"/>
        <v>0.93979625369700948</v>
      </c>
      <c r="S115" s="131">
        <f t="shared" si="32"/>
        <v>938.44200000000001</v>
      </c>
      <c r="T115" s="94">
        <f t="shared" si="33"/>
        <v>0.94355898784094649</v>
      </c>
      <c r="V115" s="82"/>
      <c r="W115" s="504">
        <v>67</v>
      </c>
      <c r="X115" s="506" t="s">
        <v>720</v>
      </c>
      <c r="Y115" s="508">
        <v>0</v>
      </c>
      <c r="Z115" s="403">
        <v>0</v>
      </c>
      <c r="AA115" s="407">
        <f t="shared" si="34"/>
        <v>0.94355898784094649</v>
      </c>
      <c r="AB115" s="411"/>
      <c r="AC115" s="446"/>
    </row>
    <row r="116" spans="1:29">
      <c r="A116" s="67">
        <v>68</v>
      </c>
      <c r="B116" s="74" t="s">
        <v>87</v>
      </c>
      <c r="C116" s="125" t="s">
        <v>365</v>
      </c>
      <c r="D116" s="387">
        <f t="shared" si="24"/>
        <v>0</v>
      </c>
      <c r="E116" s="104">
        <f t="shared" si="22"/>
        <v>4</v>
      </c>
      <c r="F116" s="83">
        <f t="shared" si="35"/>
        <v>938.44200000000001</v>
      </c>
      <c r="G116" s="83">
        <f t="shared" si="25"/>
        <v>0</v>
      </c>
      <c r="H116" s="483">
        <f t="shared" si="26"/>
        <v>0</v>
      </c>
      <c r="I116" s="83">
        <f>+'Costo adq'!C105*$I$1</f>
        <v>10273.4128</v>
      </c>
      <c r="J116" s="83">
        <f t="shared" si="27"/>
        <v>0</v>
      </c>
      <c r="L116" s="54">
        <f>VLOOKUP(A116,'Precios oferta'!$A$30:$U$436,$B$5,FALSE)</f>
        <v>17800.619200000001</v>
      </c>
      <c r="M116" s="48">
        <f>VLOOKUP(A116,'Precios piso'!$A$30:$U$436,$B$5,FALSE)</f>
        <v>1251.2560000000001</v>
      </c>
      <c r="N116" s="105">
        <f t="shared" si="28"/>
        <v>0.92970716434403589</v>
      </c>
      <c r="O116" s="131">
        <f t="shared" si="23"/>
        <v>1101.10528</v>
      </c>
      <c r="P116" s="388">
        <f t="shared" si="29"/>
        <v>0.9381423046227515</v>
      </c>
      <c r="Q116" s="131">
        <f t="shared" si="30"/>
        <v>1001.0048</v>
      </c>
      <c r="R116" s="105">
        <f t="shared" si="31"/>
        <v>0.94376573147522869</v>
      </c>
      <c r="S116" s="131">
        <f t="shared" si="32"/>
        <v>938.44200000000001</v>
      </c>
      <c r="T116" s="94">
        <f t="shared" si="33"/>
        <v>0.94728037325802694</v>
      </c>
      <c r="V116" s="82"/>
      <c r="W116" s="504">
        <v>68</v>
      </c>
      <c r="X116" s="506" t="s">
        <v>721</v>
      </c>
      <c r="Y116" s="508">
        <v>0</v>
      </c>
      <c r="Z116" s="403">
        <v>0</v>
      </c>
      <c r="AA116" s="407">
        <f t="shared" si="34"/>
        <v>0.94728037325802694</v>
      </c>
      <c r="AB116" s="411"/>
      <c r="AC116" s="446"/>
    </row>
    <row r="117" spans="1:29">
      <c r="A117" s="67">
        <v>69</v>
      </c>
      <c r="B117" s="74" t="s">
        <v>88</v>
      </c>
      <c r="C117" s="125" t="s">
        <v>365</v>
      </c>
      <c r="D117" s="387">
        <f t="shared" si="24"/>
        <v>60</v>
      </c>
      <c r="E117" s="104">
        <f t="shared" si="22"/>
        <v>4</v>
      </c>
      <c r="F117" s="83">
        <f t="shared" si="35"/>
        <v>1158.9144000000001</v>
      </c>
      <c r="G117" s="83">
        <f t="shared" si="25"/>
        <v>278139.45600000001</v>
      </c>
      <c r="H117" s="483">
        <f t="shared" si="26"/>
        <v>0</v>
      </c>
      <c r="I117" s="83">
        <f>+'Costo adq'!C106*$I$1</f>
        <v>4161.3824000000004</v>
      </c>
      <c r="J117" s="83">
        <f t="shared" si="27"/>
        <v>998731.77600000007</v>
      </c>
      <c r="L117" s="54">
        <f>VLOOKUP(A117,'Precios oferta'!$A$30:$U$436,$B$5,FALSE)</f>
        <v>10754.2448</v>
      </c>
      <c r="M117" s="48">
        <f>VLOOKUP(A117,'Precios piso'!$A$30:$U$436,$B$5,FALSE)</f>
        <v>1545.2192</v>
      </c>
      <c r="N117" s="105">
        <f t="shared" si="28"/>
        <v>0.85631541510009146</v>
      </c>
      <c r="O117" s="131">
        <f t="shared" si="23"/>
        <v>1359.7928959999999</v>
      </c>
      <c r="P117" s="388">
        <f t="shared" si="29"/>
        <v>0.87355756528808048</v>
      </c>
      <c r="Q117" s="131">
        <f t="shared" si="30"/>
        <v>1236.17536</v>
      </c>
      <c r="R117" s="105">
        <f t="shared" si="31"/>
        <v>0.88505233208007317</v>
      </c>
      <c r="S117" s="131">
        <f t="shared" si="32"/>
        <v>1158.9144000000001</v>
      </c>
      <c r="T117" s="94">
        <f t="shared" si="33"/>
        <v>0.89223656132506857</v>
      </c>
      <c r="V117" s="82"/>
      <c r="W117" s="504">
        <v>69</v>
      </c>
      <c r="X117" s="506" t="s">
        <v>722</v>
      </c>
      <c r="Y117" s="508">
        <v>60</v>
      </c>
      <c r="Z117" s="403">
        <v>0</v>
      </c>
      <c r="AA117" s="407">
        <f t="shared" si="34"/>
        <v>0.89223656132506857</v>
      </c>
      <c r="AB117" s="411"/>
      <c r="AC117" s="446">
        <v>0.88038490007401926</v>
      </c>
    </row>
    <row r="118" spans="1:29">
      <c r="A118" s="67">
        <v>70</v>
      </c>
      <c r="B118" s="74" t="s">
        <v>89</v>
      </c>
      <c r="C118" s="125" t="s">
        <v>365</v>
      </c>
      <c r="D118" s="387">
        <f t="shared" si="24"/>
        <v>60</v>
      </c>
      <c r="E118" s="104">
        <f t="shared" si="22"/>
        <v>4</v>
      </c>
      <c r="F118" s="83">
        <f t="shared" si="35"/>
        <v>1158.9144000000001</v>
      </c>
      <c r="G118" s="83">
        <f t="shared" si="25"/>
        <v>278139.45600000001</v>
      </c>
      <c r="H118" s="483">
        <f t="shared" si="26"/>
        <v>0</v>
      </c>
      <c r="I118" s="83">
        <f>+'Costo adq'!C107*$I$1</f>
        <v>4161.3824000000004</v>
      </c>
      <c r="J118" s="83">
        <f t="shared" si="27"/>
        <v>998731.77600000007</v>
      </c>
      <c r="L118" s="54">
        <f>VLOOKUP(A118,'Precios oferta'!$A$30:$U$436,$B$5,FALSE)</f>
        <v>11088.641599999999</v>
      </c>
      <c r="M118" s="48">
        <f>VLOOKUP(A118,'Precios piso'!$A$30:$U$436,$B$5,FALSE)</f>
        <v>1545.2192</v>
      </c>
      <c r="N118" s="105">
        <f t="shared" si="28"/>
        <v>0.86064846752734803</v>
      </c>
      <c r="O118" s="131">
        <f t="shared" si="23"/>
        <v>1359.7928959999999</v>
      </c>
      <c r="P118" s="388">
        <f t="shared" si="29"/>
        <v>0.87737065142406623</v>
      </c>
      <c r="Q118" s="131">
        <f t="shared" si="30"/>
        <v>1236.17536</v>
      </c>
      <c r="R118" s="105">
        <f t="shared" si="31"/>
        <v>0.8885187740218784</v>
      </c>
      <c r="S118" s="131">
        <f t="shared" si="32"/>
        <v>1158.9144000000001</v>
      </c>
      <c r="T118" s="94">
        <f t="shared" si="33"/>
        <v>0.89548635064551096</v>
      </c>
      <c r="V118" s="82"/>
      <c r="W118" s="504">
        <v>70</v>
      </c>
      <c r="X118" s="506" t="s">
        <v>723</v>
      </c>
      <c r="Y118" s="508">
        <v>60</v>
      </c>
      <c r="Z118" s="403">
        <v>0</v>
      </c>
      <c r="AA118" s="407">
        <f t="shared" si="34"/>
        <v>0.89548635064551096</v>
      </c>
      <c r="AB118" s="411"/>
      <c r="AC118" s="446"/>
    </row>
    <row r="119" spans="1:29" ht="25.5">
      <c r="A119" s="67">
        <v>71</v>
      </c>
      <c r="B119" s="74" t="s">
        <v>90</v>
      </c>
      <c r="C119" s="125" t="s">
        <v>365</v>
      </c>
      <c r="D119" s="387">
        <f t="shared" si="24"/>
        <v>0</v>
      </c>
      <c r="E119" s="104">
        <f t="shared" si="22"/>
        <v>4</v>
      </c>
      <c r="F119" s="83">
        <f t="shared" si="35"/>
        <v>2781.7224000000001</v>
      </c>
      <c r="G119" s="83">
        <f t="shared" si="25"/>
        <v>0</v>
      </c>
      <c r="H119" s="483">
        <f t="shared" si="26"/>
        <v>0</v>
      </c>
      <c r="I119" s="83">
        <f>+'Costo adq'!C108*$I$1</f>
        <v>9843.9423999999999</v>
      </c>
      <c r="J119" s="83">
        <f t="shared" si="27"/>
        <v>0</v>
      </c>
      <c r="L119" s="54">
        <f>VLOOKUP(A119,'Precios oferta'!$A$30:$U$436,$B$5,FALSE)</f>
        <v>21633.068800000001</v>
      </c>
      <c r="M119" s="48">
        <f>VLOOKUP(A119,'Precios piso'!$A$30:$U$436,$B$5,FALSE)</f>
        <v>3708.9632000000001</v>
      </c>
      <c r="N119" s="105">
        <f t="shared" si="28"/>
        <v>0.82855122246918567</v>
      </c>
      <c r="O119" s="131">
        <f t="shared" si="23"/>
        <v>3263.887616</v>
      </c>
      <c r="P119" s="388">
        <f t="shared" si="29"/>
        <v>0.84912507577288343</v>
      </c>
      <c r="Q119" s="131">
        <f t="shared" si="30"/>
        <v>2967.17056</v>
      </c>
      <c r="R119" s="105">
        <f t="shared" si="31"/>
        <v>0.86284097797534853</v>
      </c>
      <c r="S119" s="131">
        <f t="shared" si="32"/>
        <v>2781.7224000000001</v>
      </c>
      <c r="T119" s="94">
        <f t="shared" si="33"/>
        <v>0.87141341685188922</v>
      </c>
      <c r="V119" s="82"/>
      <c r="W119" s="504">
        <v>71</v>
      </c>
      <c r="X119" s="506" t="s">
        <v>724</v>
      </c>
      <c r="Y119" s="508">
        <v>0</v>
      </c>
      <c r="Z119" s="403">
        <v>0</v>
      </c>
      <c r="AA119" s="407">
        <f t="shared" si="34"/>
        <v>0.87141341685188922</v>
      </c>
      <c r="AB119" s="411"/>
      <c r="AC119" s="446"/>
    </row>
    <row r="120" spans="1:29">
      <c r="A120" s="67">
        <v>72</v>
      </c>
      <c r="B120" s="74" t="s">
        <v>91</v>
      </c>
      <c r="C120" s="125" t="s">
        <v>365</v>
      </c>
      <c r="D120" s="387">
        <f t="shared" si="24"/>
        <v>60</v>
      </c>
      <c r="E120" s="104">
        <f t="shared" si="22"/>
        <v>4</v>
      </c>
      <c r="F120" s="83">
        <f t="shared" si="35"/>
        <v>1082.6916000000001</v>
      </c>
      <c r="G120" s="83">
        <f t="shared" si="25"/>
        <v>259845.98400000003</v>
      </c>
      <c r="H120" s="483">
        <f t="shared" si="26"/>
        <v>0</v>
      </c>
      <c r="I120" s="83">
        <f>+'Costo adq'!C109*$I$1</f>
        <v>3861.9551999999999</v>
      </c>
      <c r="J120" s="83">
        <f t="shared" si="27"/>
        <v>926869.24800000002</v>
      </c>
      <c r="L120" s="54">
        <f>VLOOKUP(A120,'Precios oferta'!$A$30:$U$436,$B$5,FALSE)</f>
        <v>4895.7439999999997</v>
      </c>
      <c r="M120" s="48">
        <f>VLOOKUP(A120,'Precios piso'!$A$30:$U$436,$B$5,FALSE)</f>
        <v>1443.5888</v>
      </c>
      <c r="N120" s="105">
        <f t="shared" si="28"/>
        <v>0.70513392857142854</v>
      </c>
      <c r="O120" s="131">
        <f t="shared" si="23"/>
        <v>1270.358144</v>
      </c>
      <c r="P120" s="388">
        <f t="shared" si="29"/>
        <v>0.74051785714285712</v>
      </c>
      <c r="Q120" s="131">
        <f t="shared" si="30"/>
        <v>1154.87104</v>
      </c>
      <c r="R120" s="105">
        <f t="shared" si="31"/>
        <v>0.76410714285714287</v>
      </c>
      <c r="S120" s="131">
        <f t="shared" si="32"/>
        <v>1082.6916000000001</v>
      </c>
      <c r="T120" s="94">
        <f t="shared" si="33"/>
        <v>0.77885044642857137</v>
      </c>
      <c r="V120" s="82"/>
      <c r="W120" s="504">
        <v>72</v>
      </c>
      <c r="X120" s="506" t="s">
        <v>725</v>
      </c>
      <c r="Y120" s="508">
        <v>60</v>
      </c>
      <c r="Z120" s="403">
        <v>0</v>
      </c>
      <c r="AA120" s="407">
        <f t="shared" si="34"/>
        <v>0.77885044642857137</v>
      </c>
      <c r="AB120" s="411"/>
      <c r="AC120" s="446">
        <v>0.75417538962549435</v>
      </c>
    </row>
    <row r="121" spans="1:29">
      <c r="A121" s="67">
        <v>73</v>
      </c>
      <c r="B121" s="74" t="s">
        <v>92</v>
      </c>
      <c r="C121" s="125" t="s">
        <v>365</v>
      </c>
      <c r="D121" s="387">
        <f t="shared" si="24"/>
        <v>0</v>
      </c>
      <c r="E121" s="104">
        <f t="shared" si="22"/>
        <v>4</v>
      </c>
      <c r="F121" s="83">
        <f t="shared" si="35"/>
        <v>927.78719999999998</v>
      </c>
      <c r="G121" s="83">
        <f t="shared" si="25"/>
        <v>0</v>
      </c>
      <c r="H121" s="483">
        <f t="shared" si="26"/>
        <v>0</v>
      </c>
      <c r="I121" s="83">
        <f>+'Costo adq'!C110*$I$1</f>
        <v>12720.191999999999</v>
      </c>
      <c r="J121" s="83">
        <f t="shared" si="27"/>
        <v>0</v>
      </c>
      <c r="L121" s="54">
        <f>VLOOKUP(A121,'Precios oferta'!$A$30:$U$436,$B$5,FALSE)</f>
        <v>24142.137600000002</v>
      </c>
      <c r="M121" s="48">
        <f>VLOOKUP(A121,'Precios piso'!$A$30:$U$436,$B$5,FALSE)</f>
        <v>1237.0496000000001</v>
      </c>
      <c r="N121" s="105">
        <f t="shared" si="28"/>
        <v>0.94875973202969399</v>
      </c>
      <c r="O121" s="131">
        <f t="shared" si="23"/>
        <v>1088.603648</v>
      </c>
      <c r="P121" s="388">
        <f t="shared" si="29"/>
        <v>0.95490856418613068</v>
      </c>
      <c r="Q121" s="131">
        <f t="shared" si="30"/>
        <v>989.63968</v>
      </c>
      <c r="R121" s="105">
        <f t="shared" si="31"/>
        <v>0.95900778562375522</v>
      </c>
      <c r="S121" s="131">
        <f t="shared" si="32"/>
        <v>927.78719999999998</v>
      </c>
      <c r="T121" s="94">
        <f t="shared" si="33"/>
        <v>0.96156979902227047</v>
      </c>
      <c r="V121" s="82"/>
      <c r="W121" s="504">
        <v>73</v>
      </c>
      <c r="X121" s="506" t="s">
        <v>726</v>
      </c>
      <c r="Y121" s="508">
        <v>0</v>
      </c>
      <c r="Z121" s="403">
        <v>0</v>
      </c>
      <c r="AA121" s="407">
        <f t="shared" si="34"/>
        <v>0.96156979902227047</v>
      </c>
      <c r="AB121" s="411"/>
      <c r="AC121" s="446"/>
    </row>
    <row r="122" spans="1:29">
      <c r="A122" s="67">
        <v>74</v>
      </c>
      <c r="B122" s="74" t="s">
        <v>93</v>
      </c>
      <c r="C122" s="125" t="s">
        <v>365</v>
      </c>
      <c r="D122" s="387">
        <f t="shared" si="24"/>
        <v>0</v>
      </c>
      <c r="E122" s="104">
        <f t="shared" si="22"/>
        <v>4</v>
      </c>
      <c r="F122" s="83">
        <f t="shared" si="35"/>
        <v>695.02080000000001</v>
      </c>
      <c r="G122" s="83">
        <f t="shared" si="25"/>
        <v>0</v>
      </c>
      <c r="H122" s="483">
        <f t="shared" si="26"/>
        <v>0</v>
      </c>
      <c r="I122" s="83">
        <f>+'Costo adq'!C111*$I$1</f>
        <v>3381.1232</v>
      </c>
      <c r="J122" s="83">
        <f t="shared" si="27"/>
        <v>0</v>
      </c>
      <c r="L122" s="54">
        <f>VLOOKUP(A122,'Precios oferta'!$A$30:$U$436,$B$5,FALSE)</f>
        <v>15526.502399999999</v>
      </c>
      <c r="M122" s="48">
        <f>VLOOKUP(A122,'Precios piso'!$A$30:$U$436,$B$5,FALSE)</f>
        <v>926.69439999999997</v>
      </c>
      <c r="N122" s="105">
        <f t="shared" si="28"/>
        <v>0.94031531531531531</v>
      </c>
      <c r="O122" s="131">
        <f t="shared" si="23"/>
        <v>815.49107200000003</v>
      </c>
      <c r="P122" s="388">
        <f t="shared" si="29"/>
        <v>0.94747747747747746</v>
      </c>
      <c r="Q122" s="131">
        <f t="shared" si="30"/>
        <v>741.35551999999996</v>
      </c>
      <c r="R122" s="105">
        <f t="shared" si="31"/>
        <v>0.9522522522522523</v>
      </c>
      <c r="S122" s="131">
        <f t="shared" si="32"/>
        <v>695.02080000000001</v>
      </c>
      <c r="T122" s="94">
        <f t="shared" si="33"/>
        <v>0.95523648648648651</v>
      </c>
      <c r="V122" s="82"/>
      <c r="W122" s="504">
        <v>74</v>
      </c>
      <c r="X122" s="506" t="s">
        <v>727</v>
      </c>
      <c r="Y122" s="508">
        <v>0</v>
      </c>
      <c r="Z122" s="403">
        <v>0</v>
      </c>
      <c r="AA122" s="407">
        <f t="shared" si="34"/>
        <v>0.95523648648648651</v>
      </c>
      <c r="AB122" s="411"/>
      <c r="AC122" s="446"/>
    </row>
    <row r="123" spans="1:29">
      <c r="A123" s="67">
        <v>75</v>
      </c>
      <c r="B123" s="74" t="s">
        <v>94</v>
      </c>
      <c r="C123" s="125" t="s">
        <v>365</v>
      </c>
      <c r="D123" s="387">
        <f t="shared" si="24"/>
        <v>60</v>
      </c>
      <c r="E123" s="104">
        <f t="shared" si="22"/>
        <v>4</v>
      </c>
      <c r="F123" s="83">
        <f t="shared" si="35"/>
        <v>486.8424</v>
      </c>
      <c r="G123" s="83">
        <f t="shared" si="25"/>
        <v>116842.17600000001</v>
      </c>
      <c r="H123" s="483">
        <f t="shared" si="26"/>
        <v>0</v>
      </c>
      <c r="I123" s="83">
        <f>+'Costo adq'!C112*$I$1</f>
        <v>750.75360000000001</v>
      </c>
      <c r="J123" s="83">
        <f t="shared" si="27"/>
        <v>180180.864</v>
      </c>
      <c r="L123" s="54">
        <f>VLOOKUP(A123,'Precios oferta'!$A$30:$U$436,$B$5,FALSE)</f>
        <v>2089.4335999999998</v>
      </c>
      <c r="M123" s="48">
        <f>VLOOKUP(A123,'Precios piso'!$A$30:$U$436,$B$5,FALSE)</f>
        <v>649.1232</v>
      </c>
      <c r="N123" s="105">
        <f t="shared" si="28"/>
        <v>0.68933054393305437</v>
      </c>
      <c r="O123" s="131">
        <f t="shared" si="23"/>
        <v>571.22841600000004</v>
      </c>
      <c r="P123" s="388">
        <f t="shared" si="29"/>
        <v>0.72661087866108787</v>
      </c>
      <c r="Q123" s="131">
        <f t="shared" si="30"/>
        <v>519.29855999999995</v>
      </c>
      <c r="R123" s="105">
        <f t="shared" si="31"/>
        <v>0.75146443514644345</v>
      </c>
      <c r="S123" s="131">
        <f t="shared" si="32"/>
        <v>486.8424</v>
      </c>
      <c r="T123" s="94">
        <f t="shared" si="33"/>
        <v>0.76699790794979084</v>
      </c>
      <c r="V123" s="82"/>
      <c r="W123" s="504">
        <v>75</v>
      </c>
      <c r="X123" s="506" t="s">
        <v>728</v>
      </c>
      <c r="Y123" s="508">
        <v>60</v>
      </c>
      <c r="Z123" s="403">
        <v>0</v>
      </c>
      <c r="AA123" s="407">
        <f t="shared" si="34"/>
        <v>0.76699790794979084</v>
      </c>
      <c r="AB123" s="411"/>
      <c r="AC123" s="446">
        <v>0.73904448105436571</v>
      </c>
    </row>
    <row r="124" spans="1:29">
      <c r="A124" s="67">
        <v>76</v>
      </c>
      <c r="B124" s="74" t="s">
        <v>95</v>
      </c>
      <c r="C124" s="125" t="s">
        <v>365</v>
      </c>
      <c r="D124" s="387">
        <f t="shared" si="24"/>
        <v>0</v>
      </c>
      <c r="E124" s="104">
        <f t="shared" si="22"/>
        <v>4</v>
      </c>
      <c r="F124" s="83">
        <f t="shared" si="35"/>
        <v>204.0804</v>
      </c>
      <c r="G124" s="83">
        <f t="shared" si="25"/>
        <v>0</v>
      </c>
      <c r="H124" s="483">
        <f t="shared" si="26"/>
        <v>0</v>
      </c>
      <c r="I124" s="83">
        <f>+'Costo adq'!C113*$I$1</f>
        <v>716.8768</v>
      </c>
      <c r="J124" s="83">
        <f t="shared" si="27"/>
        <v>0</v>
      </c>
      <c r="L124" s="54">
        <f>VLOOKUP(A124,'Precios oferta'!$A$30:$U$436,$B$5,FALSE)</f>
        <v>1223.9359999999999</v>
      </c>
      <c r="M124" s="48">
        <f>VLOOKUP(A124,'Precios piso'!$A$30:$U$436,$B$5,FALSE)</f>
        <v>272.10719999999998</v>
      </c>
      <c r="N124" s="105">
        <f t="shared" si="28"/>
        <v>0.77767857142857144</v>
      </c>
      <c r="O124" s="131">
        <f t="shared" si="23"/>
        <v>239.45433599999998</v>
      </c>
      <c r="P124" s="388">
        <f t="shared" si="29"/>
        <v>0.80435714285714288</v>
      </c>
      <c r="Q124" s="131">
        <f t="shared" si="30"/>
        <v>217.68575999999999</v>
      </c>
      <c r="R124" s="105">
        <f t="shared" si="31"/>
        <v>0.82214285714285718</v>
      </c>
      <c r="S124" s="131">
        <f t="shared" si="32"/>
        <v>204.0804</v>
      </c>
      <c r="T124" s="94">
        <f t="shared" si="33"/>
        <v>0.83325892857142858</v>
      </c>
      <c r="V124" s="82"/>
      <c r="W124" s="504">
        <v>76</v>
      </c>
      <c r="X124" s="506" t="s">
        <v>729</v>
      </c>
      <c r="Y124" s="508">
        <v>0</v>
      </c>
      <c r="Z124" s="403">
        <v>0</v>
      </c>
      <c r="AA124" s="407">
        <f t="shared" si="34"/>
        <v>0.83325892857142858</v>
      </c>
      <c r="AB124" s="411"/>
      <c r="AC124" s="446"/>
    </row>
    <row r="125" spans="1:29">
      <c r="A125" s="67">
        <v>77</v>
      </c>
      <c r="B125" s="74" t="s">
        <v>96</v>
      </c>
      <c r="C125" s="125" t="s">
        <v>365</v>
      </c>
      <c r="D125" s="387">
        <f t="shared" si="24"/>
        <v>60</v>
      </c>
      <c r="E125" s="104">
        <f t="shared" si="22"/>
        <v>4</v>
      </c>
      <c r="F125" s="83">
        <f t="shared" si="35"/>
        <v>204.0804</v>
      </c>
      <c r="G125" s="83">
        <f t="shared" si="25"/>
        <v>48979.296000000002</v>
      </c>
      <c r="H125" s="483">
        <f t="shared" si="26"/>
        <v>0</v>
      </c>
      <c r="I125" s="83">
        <f>+'Costo adq'!C114*$I$1</f>
        <v>325.65440000000001</v>
      </c>
      <c r="J125" s="83">
        <f t="shared" si="27"/>
        <v>78157.055999999997</v>
      </c>
      <c r="L125" s="54">
        <f>VLOOKUP(A125,'Precios oferta'!$A$30:$U$436,$B$5,FALSE)</f>
        <v>507.05919999999998</v>
      </c>
      <c r="M125" s="48">
        <f>VLOOKUP(A125,'Precios piso'!$A$30:$U$436,$B$5,FALSE)</f>
        <v>272.10719999999998</v>
      </c>
      <c r="N125" s="105">
        <f t="shared" si="28"/>
        <v>0.46336206896551724</v>
      </c>
      <c r="O125" s="131">
        <f t="shared" si="23"/>
        <v>239.45433599999998</v>
      </c>
      <c r="P125" s="388">
        <f t="shared" si="29"/>
        <v>0.52775862068965518</v>
      </c>
      <c r="Q125" s="131">
        <f t="shared" si="30"/>
        <v>217.68575999999999</v>
      </c>
      <c r="R125" s="105">
        <f t="shared" si="31"/>
        <v>0.57068965517241388</v>
      </c>
      <c r="S125" s="131">
        <f t="shared" si="32"/>
        <v>204.0804</v>
      </c>
      <c r="T125" s="94">
        <f t="shared" si="33"/>
        <v>0.5975215517241379</v>
      </c>
      <c r="V125" s="82"/>
      <c r="W125" s="504">
        <v>77</v>
      </c>
      <c r="X125" s="506" t="s">
        <v>730</v>
      </c>
      <c r="Y125" s="508">
        <v>60</v>
      </c>
      <c r="Z125" s="403">
        <v>0</v>
      </c>
      <c r="AA125" s="407">
        <f t="shared" si="34"/>
        <v>0.5975215517241379</v>
      </c>
      <c r="AB125" s="411"/>
      <c r="AC125" s="446"/>
    </row>
    <row r="126" spans="1:29">
      <c r="A126" s="67">
        <v>78</v>
      </c>
      <c r="B126" s="74" t="s">
        <v>97</v>
      </c>
      <c r="C126" s="125" t="s">
        <v>365</v>
      </c>
      <c r="D126" s="387">
        <f t="shared" si="24"/>
        <v>0</v>
      </c>
      <c r="E126" s="104">
        <f t="shared" si="22"/>
        <v>4</v>
      </c>
      <c r="F126" s="83">
        <f t="shared" si="35"/>
        <v>171.29640000000001</v>
      </c>
      <c r="G126" s="83">
        <f t="shared" si="25"/>
        <v>0</v>
      </c>
      <c r="H126" s="483">
        <f t="shared" si="26"/>
        <v>0</v>
      </c>
      <c r="I126" s="83">
        <f>+'Costo adq'!C115*$I$1</f>
        <v>221.83840000000001</v>
      </c>
      <c r="J126" s="83">
        <f t="shared" si="27"/>
        <v>0</v>
      </c>
      <c r="L126" s="54">
        <f>VLOOKUP(A126,'Precios oferta'!$A$30:$U$436,$B$5,FALSE)</f>
        <v>1124.4911999999999</v>
      </c>
      <c r="M126" s="48">
        <f>VLOOKUP(A126,'Precios piso'!$A$30:$U$436,$B$5,FALSE)</f>
        <v>228.39519999999999</v>
      </c>
      <c r="N126" s="105">
        <f t="shared" si="28"/>
        <v>0.79689018464528671</v>
      </c>
      <c r="O126" s="131">
        <f t="shared" si="23"/>
        <v>200.987776</v>
      </c>
      <c r="P126" s="388">
        <f t="shared" si="29"/>
        <v>0.82126336248785226</v>
      </c>
      <c r="Q126" s="131">
        <f t="shared" si="30"/>
        <v>182.71616</v>
      </c>
      <c r="R126" s="105">
        <f t="shared" si="31"/>
        <v>0.83751214771622928</v>
      </c>
      <c r="S126" s="131">
        <f t="shared" si="32"/>
        <v>171.29640000000001</v>
      </c>
      <c r="T126" s="94">
        <f t="shared" si="33"/>
        <v>0.84766763848396498</v>
      </c>
      <c r="V126" s="82"/>
      <c r="W126" s="504">
        <v>78</v>
      </c>
      <c r="X126" s="507" t="s">
        <v>731</v>
      </c>
      <c r="Y126" s="508">
        <v>0</v>
      </c>
      <c r="Z126" s="403">
        <v>0</v>
      </c>
      <c r="AA126" s="407">
        <f t="shared" si="34"/>
        <v>0.84766763848396498</v>
      </c>
      <c r="AB126" s="411"/>
      <c r="AC126" s="446"/>
    </row>
    <row r="127" spans="1:29">
      <c r="A127" s="67">
        <v>79</v>
      </c>
      <c r="B127" s="74" t="s">
        <v>98</v>
      </c>
      <c r="C127" s="125" t="s">
        <v>365</v>
      </c>
      <c r="D127" s="387">
        <f t="shared" si="24"/>
        <v>0</v>
      </c>
      <c r="E127" s="104">
        <f t="shared" si="22"/>
        <v>4</v>
      </c>
      <c r="F127" s="83">
        <f t="shared" si="35"/>
        <v>156.5436</v>
      </c>
      <c r="G127" s="83">
        <f t="shared" si="25"/>
        <v>0</v>
      </c>
      <c r="H127" s="483">
        <f t="shared" si="26"/>
        <v>0</v>
      </c>
      <c r="I127" s="83">
        <f>+'Costo adq'!C116*$I$1</f>
        <v>675.35040000000004</v>
      </c>
      <c r="J127" s="83">
        <f t="shared" si="27"/>
        <v>0</v>
      </c>
      <c r="L127" s="54">
        <f>VLOOKUP(A127,'Precios oferta'!$A$30:$U$436,$B$5,FALSE)</f>
        <v>766.05279999999993</v>
      </c>
      <c r="M127" s="48">
        <f>VLOOKUP(A127,'Precios piso'!$A$30:$U$436,$B$5,FALSE)</f>
        <v>208.72479999999999</v>
      </c>
      <c r="N127" s="105">
        <f t="shared" si="28"/>
        <v>0.72753209700427957</v>
      </c>
      <c r="O127" s="131">
        <f t="shared" si="23"/>
        <v>183.67782399999999</v>
      </c>
      <c r="P127" s="388">
        <f t="shared" si="29"/>
        <v>0.7602282453637661</v>
      </c>
      <c r="Q127" s="131">
        <f t="shared" si="30"/>
        <v>166.97984</v>
      </c>
      <c r="R127" s="105">
        <f t="shared" si="31"/>
        <v>0.78202567760342367</v>
      </c>
      <c r="S127" s="131">
        <f t="shared" si="32"/>
        <v>156.5436</v>
      </c>
      <c r="T127" s="94">
        <f t="shared" si="33"/>
        <v>0.79564907275320973</v>
      </c>
      <c r="V127" s="82"/>
      <c r="W127" s="504">
        <v>79</v>
      </c>
      <c r="X127" s="507" t="s">
        <v>732</v>
      </c>
      <c r="Y127" s="508">
        <v>0</v>
      </c>
      <c r="Z127" s="403">
        <v>0</v>
      </c>
      <c r="AA127" s="407">
        <f t="shared" si="34"/>
        <v>0.79564907275320973</v>
      </c>
      <c r="AB127" s="411"/>
      <c r="AC127" s="446"/>
    </row>
    <row r="128" spans="1:29">
      <c r="A128" s="67">
        <v>80</v>
      </c>
      <c r="B128" s="74" t="s">
        <v>99</v>
      </c>
      <c r="C128" s="125" t="s">
        <v>365</v>
      </c>
      <c r="D128" s="387">
        <f t="shared" si="24"/>
        <v>0</v>
      </c>
      <c r="E128" s="104">
        <f t="shared" si="22"/>
        <v>4</v>
      </c>
      <c r="F128" s="83">
        <f t="shared" si="35"/>
        <v>175.39439999999999</v>
      </c>
      <c r="G128" s="83">
        <f t="shared" si="25"/>
        <v>0</v>
      </c>
      <c r="H128" s="483">
        <f t="shared" si="26"/>
        <v>0</v>
      </c>
      <c r="I128" s="83">
        <f>+'Costo adq'!C117*$I$1</f>
        <v>751.84640000000002</v>
      </c>
      <c r="J128" s="83">
        <f t="shared" si="27"/>
        <v>0</v>
      </c>
      <c r="L128" s="54">
        <f>VLOOKUP(A128,'Precios oferta'!$A$30:$U$436,$B$5,FALSE)</f>
        <v>1298.2464</v>
      </c>
      <c r="M128" s="48">
        <f>VLOOKUP(A128,'Precios piso'!$A$30:$U$436,$B$5,FALSE)</f>
        <v>233.85919999999999</v>
      </c>
      <c r="N128" s="105">
        <f t="shared" si="28"/>
        <v>0.81986531986531985</v>
      </c>
      <c r="O128" s="131">
        <f t="shared" si="23"/>
        <v>205.79609599999998</v>
      </c>
      <c r="P128" s="388">
        <f t="shared" si="29"/>
        <v>0.8414814814814815</v>
      </c>
      <c r="Q128" s="131">
        <f t="shared" si="30"/>
        <v>187.08735999999999</v>
      </c>
      <c r="R128" s="105">
        <f t="shared" si="31"/>
        <v>0.85589225589225593</v>
      </c>
      <c r="S128" s="131">
        <f t="shared" si="32"/>
        <v>175.39439999999999</v>
      </c>
      <c r="T128" s="94">
        <f t="shared" si="33"/>
        <v>0.86489898989898994</v>
      </c>
      <c r="V128" s="82"/>
      <c r="W128" s="504">
        <v>80</v>
      </c>
      <c r="X128" s="506" t="s">
        <v>733</v>
      </c>
      <c r="Y128" s="508">
        <v>0</v>
      </c>
      <c r="Z128" s="403">
        <v>0</v>
      </c>
      <c r="AA128" s="407">
        <f t="shared" si="34"/>
        <v>0.86489898989898994</v>
      </c>
      <c r="AB128" s="411"/>
      <c r="AC128" s="446"/>
    </row>
    <row r="129" spans="1:29">
      <c r="A129" s="67">
        <v>81</v>
      </c>
      <c r="B129" s="74" t="s">
        <v>100</v>
      </c>
      <c r="C129" s="125" t="s">
        <v>365</v>
      </c>
      <c r="D129" s="387">
        <f t="shared" si="24"/>
        <v>0</v>
      </c>
      <c r="E129" s="104">
        <f t="shared" si="22"/>
        <v>4</v>
      </c>
      <c r="F129" s="83">
        <f t="shared" si="35"/>
        <v>175.39439999999999</v>
      </c>
      <c r="G129" s="83">
        <f t="shared" si="25"/>
        <v>0</v>
      </c>
      <c r="H129" s="483">
        <f t="shared" si="26"/>
        <v>0</v>
      </c>
      <c r="I129" s="83">
        <f>+'Costo adq'!C118*$I$1</f>
        <v>325.65440000000001</v>
      </c>
      <c r="J129" s="83">
        <f t="shared" si="27"/>
        <v>0</v>
      </c>
      <c r="L129" s="54">
        <f>VLOOKUP(A129,'Precios oferta'!$A$30:$U$436,$B$5,FALSE)</f>
        <v>704.85599999999999</v>
      </c>
      <c r="M129" s="48">
        <f>VLOOKUP(A129,'Precios piso'!$A$30:$U$436,$B$5,FALSE)</f>
        <v>233.85919999999999</v>
      </c>
      <c r="N129" s="105">
        <f t="shared" si="28"/>
        <v>0.66821705426356592</v>
      </c>
      <c r="O129" s="131">
        <f t="shared" si="23"/>
        <v>205.79609599999998</v>
      </c>
      <c r="P129" s="388">
        <f t="shared" si="29"/>
        <v>0.70803100775193806</v>
      </c>
      <c r="Q129" s="131">
        <f t="shared" si="30"/>
        <v>187.08735999999999</v>
      </c>
      <c r="R129" s="105">
        <f t="shared" si="31"/>
        <v>0.73457364341085274</v>
      </c>
      <c r="S129" s="131">
        <f t="shared" si="32"/>
        <v>175.39439999999999</v>
      </c>
      <c r="T129" s="94">
        <f t="shared" si="33"/>
        <v>0.75116279069767444</v>
      </c>
      <c r="V129" s="82"/>
      <c r="W129" s="504">
        <v>81</v>
      </c>
      <c r="X129" s="506" t="s">
        <v>734</v>
      </c>
      <c r="Y129" s="508">
        <v>0</v>
      </c>
      <c r="Z129" s="403">
        <v>0</v>
      </c>
      <c r="AA129" s="407">
        <f t="shared" si="34"/>
        <v>0.75116279069767444</v>
      </c>
      <c r="AB129" s="411"/>
      <c r="AC129" s="446"/>
    </row>
    <row r="130" spans="1:29">
      <c r="A130" s="67">
        <v>82</v>
      </c>
      <c r="B130" s="74" t="s">
        <v>101</v>
      </c>
      <c r="C130" s="125" t="s">
        <v>365</v>
      </c>
      <c r="D130" s="387">
        <f t="shared" si="24"/>
        <v>40</v>
      </c>
      <c r="E130" s="104">
        <f t="shared" si="22"/>
        <v>4</v>
      </c>
      <c r="F130" s="83">
        <f t="shared" si="35"/>
        <v>2141.6147999999998</v>
      </c>
      <c r="G130" s="83">
        <f t="shared" si="25"/>
        <v>342658.36799999996</v>
      </c>
      <c r="H130" s="483">
        <f t="shared" si="26"/>
        <v>0</v>
      </c>
      <c r="I130" s="83">
        <f>+'Costo adq'!C119*$I$1</f>
        <v>2786.64</v>
      </c>
      <c r="J130" s="83">
        <f t="shared" si="27"/>
        <v>445862.39999999997</v>
      </c>
      <c r="L130" s="54">
        <f>VLOOKUP(A130,'Precios oferta'!$A$30:$U$436,$B$5,FALSE)</f>
        <v>5129.6031999999996</v>
      </c>
      <c r="M130" s="48">
        <f>VLOOKUP(A130,'Precios piso'!$A$30:$U$436,$B$5,FALSE)</f>
        <v>2855.4863999999998</v>
      </c>
      <c r="N130" s="105">
        <f t="shared" si="28"/>
        <v>0.44333191308052833</v>
      </c>
      <c r="O130" s="131">
        <f t="shared" si="23"/>
        <v>2512.8280319999999</v>
      </c>
      <c r="P130" s="388">
        <f t="shared" si="29"/>
        <v>0.51013208351086492</v>
      </c>
      <c r="Q130" s="131">
        <f t="shared" si="30"/>
        <v>2284.3891199999998</v>
      </c>
      <c r="R130" s="105">
        <f t="shared" si="31"/>
        <v>0.55466553046442268</v>
      </c>
      <c r="S130" s="131">
        <f t="shared" si="32"/>
        <v>2141.6147999999998</v>
      </c>
      <c r="T130" s="94">
        <f t="shared" si="33"/>
        <v>0.58249893481039627</v>
      </c>
      <c r="V130" s="82"/>
      <c r="W130" s="504">
        <v>82</v>
      </c>
      <c r="X130" s="506" t="s">
        <v>735</v>
      </c>
      <c r="Y130" s="508">
        <v>40</v>
      </c>
      <c r="Z130" s="403">
        <v>0</v>
      </c>
      <c r="AA130" s="407">
        <f t="shared" si="34"/>
        <v>0.58249893481039627</v>
      </c>
      <c r="AB130" s="411"/>
      <c r="AC130" s="446">
        <v>0.6446225784903139</v>
      </c>
    </row>
    <row r="131" spans="1:29">
      <c r="A131" s="67">
        <v>83</v>
      </c>
      <c r="B131" s="74" t="s">
        <v>102</v>
      </c>
      <c r="C131" s="125" t="s">
        <v>365</v>
      </c>
      <c r="D131" s="387">
        <f t="shared" si="24"/>
        <v>0</v>
      </c>
      <c r="E131" s="104">
        <f t="shared" si="22"/>
        <v>4</v>
      </c>
      <c r="F131" s="83">
        <f t="shared" si="35"/>
        <v>2141.6147999999998</v>
      </c>
      <c r="G131" s="83">
        <f t="shared" si="25"/>
        <v>0</v>
      </c>
      <c r="H131" s="483">
        <f t="shared" si="26"/>
        <v>0</v>
      </c>
      <c r="I131" s="83">
        <f>+'Costo adq'!C120*$I$1</f>
        <v>2786.64</v>
      </c>
      <c r="J131" s="83">
        <f t="shared" si="27"/>
        <v>0</v>
      </c>
      <c r="L131" s="54">
        <f>VLOOKUP(A131,'Precios oferta'!$A$30:$U$436,$B$5,FALSE)</f>
        <v>5266.2031999999999</v>
      </c>
      <c r="M131" s="48">
        <f>VLOOKUP(A131,'Precios piso'!$A$30:$U$436,$B$5,FALSE)</f>
        <v>2855.4863999999998</v>
      </c>
      <c r="N131" s="105">
        <f t="shared" si="28"/>
        <v>0.45777132185100644</v>
      </c>
      <c r="O131" s="131">
        <f t="shared" si="23"/>
        <v>2512.8280319999999</v>
      </c>
      <c r="P131" s="388">
        <f t="shared" si="29"/>
        <v>0.52283876322888567</v>
      </c>
      <c r="Q131" s="131">
        <f t="shared" si="30"/>
        <v>2284.3891199999998</v>
      </c>
      <c r="R131" s="105">
        <f t="shared" si="31"/>
        <v>0.5662170574808052</v>
      </c>
      <c r="S131" s="131">
        <f t="shared" si="32"/>
        <v>2141.6147999999998</v>
      </c>
      <c r="T131" s="94">
        <f t="shared" si="33"/>
        <v>0.59332849138825483</v>
      </c>
      <c r="V131" s="82"/>
      <c r="W131" s="504">
        <v>83</v>
      </c>
      <c r="X131" s="506" t="s">
        <v>736</v>
      </c>
      <c r="Y131" s="508">
        <v>0</v>
      </c>
      <c r="Z131" s="403">
        <v>0</v>
      </c>
      <c r="AA131" s="407">
        <f t="shared" si="34"/>
        <v>0.59332849138825483</v>
      </c>
      <c r="AB131" s="411"/>
      <c r="AC131" s="446"/>
    </row>
    <row r="132" spans="1:29">
      <c r="A132" s="67">
        <v>84</v>
      </c>
      <c r="B132" s="74" t="s">
        <v>103</v>
      </c>
      <c r="C132" s="125" t="s">
        <v>365</v>
      </c>
      <c r="D132" s="387">
        <f t="shared" si="24"/>
        <v>40</v>
      </c>
      <c r="E132" s="104">
        <f t="shared" si="22"/>
        <v>4</v>
      </c>
      <c r="F132" s="83">
        <f t="shared" si="35"/>
        <v>2616.9827999999998</v>
      </c>
      <c r="G132" s="83">
        <f t="shared" si="25"/>
        <v>418717.24799999996</v>
      </c>
      <c r="H132" s="483">
        <f t="shared" si="26"/>
        <v>0</v>
      </c>
      <c r="I132" s="83">
        <f>+'Costo adq'!C121*$I$1</f>
        <v>3019.4063999999998</v>
      </c>
      <c r="J132" s="83">
        <f t="shared" si="27"/>
        <v>483105.02399999998</v>
      </c>
      <c r="L132" s="54">
        <f>VLOOKUP(A132,'Precios oferta'!$A$30:$U$436,$B$5,FALSE)</f>
        <v>7194.9952000000003</v>
      </c>
      <c r="M132" s="48">
        <f>VLOOKUP(A132,'Precios piso'!$A$30:$U$436,$B$5,FALSE)</f>
        <v>3489.3103999999998</v>
      </c>
      <c r="N132" s="105">
        <f t="shared" si="28"/>
        <v>0.51503645200486026</v>
      </c>
      <c r="O132" s="131">
        <f t="shared" si="23"/>
        <v>3070.5931519999999</v>
      </c>
      <c r="P132" s="388">
        <f t="shared" si="29"/>
        <v>0.57323207776427698</v>
      </c>
      <c r="Q132" s="131">
        <f t="shared" si="30"/>
        <v>2791.44832</v>
      </c>
      <c r="R132" s="105">
        <f t="shared" si="31"/>
        <v>0.61202916160388821</v>
      </c>
      <c r="S132" s="131">
        <f t="shared" si="32"/>
        <v>2616.9827999999998</v>
      </c>
      <c r="T132" s="94">
        <f t="shared" si="33"/>
        <v>0.63627733900364525</v>
      </c>
      <c r="V132" s="82"/>
      <c r="W132" s="504">
        <v>84</v>
      </c>
      <c r="X132" s="506" t="s">
        <v>737</v>
      </c>
      <c r="Y132" s="508">
        <v>40</v>
      </c>
      <c r="Z132" s="403">
        <v>0</v>
      </c>
      <c r="AA132" s="407">
        <f t="shared" si="34"/>
        <v>0.63627733900364525</v>
      </c>
      <c r="AB132" s="411"/>
      <c r="AC132" s="446"/>
    </row>
    <row r="133" spans="1:29">
      <c r="A133" s="67">
        <v>85</v>
      </c>
      <c r="B133" s="74" t="s">
        <v>104</v>
      </c>
      <c r="C133" s="125" t="s">
        <v>365</v>
      </c>
      <c r="D133" s="387">
        <f t="shared" si="24"/>
        <v>0</v>
      </c>
      <c r="E133" s="104">
        <f t="shared" si="22"/>
        <v>4</v>
      </c>
      <c r="F133" s="83">
        <f t="shared" si="35"/>
        <v>2616.9827999999998</v>
      </c>
      <c r="G133" s="83">
        <f t="shared" si="25"/>
        <v>0</v>
      </c>
      <c r="H133" s="483">
        <f t="shared" si="26"/>
        <v>0</v>
      </c>
      <c r="I133" s="83">
        <f>+'Costo adq'!C122*$I$1</f>
        <v>3046.7264</v>
      </c>
      <c r="J133" s="83">
        <f t="shared" si="27"/>
        <v>0</v>
      </c>
      <c r="L133" s="54">
        <f>VLOOKUP(A133,'Precios oferta'!$A$30:$U$436,$B$5,FALSE)</f>
        <v>7194.9952000000003</v>
      </c>
      <c r="M133" s="48">
        <f>VLOOKUP(A133,'Precios piso'!$A$30:$U$436,$B$5,FALSE)</f>
        <v>3489.3103999999998</v>
      </c>
      <c r="N133" s="105">
        <f t="shared" si="28"/>
        <v>0.51503645200486026</v>
      </c>
      <c r="O133" s="131">
        <f t="shared" si="23"/>
        <v>3070.5931519999999</v>
      </c>
      <c r="P133" s="388">
        <f t="shared" si="29"/>
        <v>0.57323207776427698</v>
      </c>
      <c r="Q133" s="131">
        <f t="shared" si="30"/>
        <v>2791.44832</v>
      </c>
      <c r="R133" s="105">
        <f t="shared" si="31"/>
        <v>0.61202916160388821</v>
      </c>
      <c r="S133" s="131">
        <f t="shared" si="32"/>
        <v>2616.9827999999998</v>
      </c>
      <c r="T133" s="94">
        <f t="shared" si="33"/>
        <v>0.63627733900364525</v>
      </c>
      <c r="V133" s="82"/>
      <c r="W133" s="504">
        <v>85</v>
      </c>
      <c r="X133" s="506" t="s">
        <v>738</v>
      </c>
      <c r="Y133" s="508">
        <v>0</v>
      </c>
      <c r="Z133" s="403">
        <v>0</v>
      </c>
      <c r="AA133" s="407">
        <f t="shared" si="34"/>
        <v>0.63627733900364525</v>
      </c>
      <c r="AB133" s="411"/>
      <c r="AC133" s="446"/>
    </row>
    <row r="134" spans="1:29">
      <c r="A134" s="67">
        <v>86</v>
      </c>
      <c r="B134" s="74" t="s">
        <v>105</v>
      </c>
      <c r="C134" s="125" t="s">
        <v>365</v>
      </c>
      <c r="D134" s="387">
        <f t="shared" si="24"/>
        <v>0</v>
      </c>
      <c r="E134" s="104">
        <f t="shared" si="22"/>
        <v>4</v>
      </c>
      <c r="F134" s="83">
        <f t="shared" si="35"/>
        <v>3430.0260000000003</v>
      </c>
      <c r="G134" s="83">
        <f t="shared" si="25"/>
        <v>0</v>
      </c>
      <c r="H134" s="483">
        <f t="shared" si="26"/>
        <v>0</v>
      </c>
      <c r="I134" s="83">
        <f>+'Costo adq'!C123*$I$1</f>
        <v>6062.8544000000002</v>
      </c>
      <c r="J134" s="83">
        <f t="shared" si="27"/>
        <v>0</v>
      </c>
      <c r="L134" s="54">
        <f>VLOOKUP(A134,'Precios oferta'!$A$30:$U$436,$B$5,FALSE)</f>
        <v>12732.212799999999</v>
      </c>
      <c r="M134" s="48">
        <f>VLOOKUP(A134,'Precios piso'!$A$30:$U$436,$B$5,FALSE)</f>
        <v>4573.3680000000004</v>
      </c>
      <c r="N134" s="105">
        <f t="shared" si="28"/>
        <v>0.64080336451806708</v>
      </c>
      <c r="O134" s="131">
        <f t="shared" si="23"/>
        <v>4024.5638400000003</v>
      </c>
      <c r="P134" s="388">
        <f t="shared" si="29"/>
        <v>0.68390696077589896</v>
      </c>
      <c r="Q134" s="131">
        <f t="shared" si="30"/>
        <v>3658.6944000000003</v>
      </c>
      <c r="R134" s="105">
        <f t="shared" si="31"/>
        <v>0.7126426916144537</v>
      </c>
      <c r="S134" s="131">
        <f t="shared" si="32"/>
        <v>3430.0260000000003</v>
      </c>
      <c r="T134" s="94">
        <f t="shared" si="33"/>
        <v>0.73060252338855025</v>
      </c>
      <c r="V134" s="82"/>
      <c r="W134" s="504">
        <v>86</v>
      </c>
      <c r="X134" s="506" t="s">
        <v>739</v>
      </c>
      <c r="Y134" s="508">
        <v>0</v>
      </c>
      <c r="Z134" s="403">
        <v>0</v>
      </c>
      <c r="AA134" s="407">
        <f t="shared" si="34"/>
        <v>0.73060252338855025</v>
      </c>
      <c r="AB134" s="411"/>
      <c r="AC134" s="446"/>
    </row>
    <row r="135" spans="1:29">
      <c r="A135" s="67">
        <v>87</v>
      </c>
      <c r="B135" s="74" t="s">
        <v>106</v>
      </c>
      <c r="C135" s="125" t="s">
        <v>365</v>
      </c>
      <c r="D135" s="387">
        <f t="shared" si="24"/>
        <v>20</v>
      </c>
      <c r="E135" s="104">
        <f t="shared" si="22"/>
        <v>4</v>
      </c>
      <c r="F135" s="83">
        <f t="shared" si="35"/>
        <v>834.35279999999989</v>
      </c>
      <c r="G135" s="83">
        <f t="shared" si="25"/>
        <v>66748.223999999987</v>
      </c>
      <c r="H135" s="483">
        <f t="shared" si="26"/>
        <v>0</v>
      </c>
      <c r="I135" s="83">
        <f>+'Costo adq'!C124*$I$1</f>
        <v>5768.8912</v>
      </c>
      <c r="J135" s="83">
        <f t="shared" si="27"/>
        <v>461511.29599999997</v>
      </c>
      <c r="L135" s="54">
        <f>VLOOKUP(A135,'Precios oferta'!$A$30:$U$436,$B$5,FALSE)</f>
        <v>7244.1711999999998</v>
      </c>
      <c r="M135" s="48">
        <f>VLOOKUP(A135,'Precios piso'!$A$30:$U$436,$B$5,FALSE)</f>
        <v>1112.4703999999999</v>
      </c>
      <c r="N135" s="105">
        <f t="shared" si="28"/>
        <v>0.84643234273646106</v>
      </c>
      <c r="O135" s="131">
        <f t="shared" si="23"/>
        <v>978.97395199999994</v>
      </c>
      <c r="P135" s="388">
        <f t="shared" si="29"/>
        <v>0.86486046160808572</v>
      </c>
      <c r="Q135" s="131">
        <f t="shared" si="30"/>
        <v>889.97631999999999</v>
      </c>
      <c r="R135" s="105">
        <f t="shared" si="31"/>
        <v>0.87714587418916878</v>
      </c>
      <c r="S135" s="131">
        <f t="shared" si="32"/>
        <v>834.35279999999989</v>
      </c>
      <c r="T135" s="94">
        <f t="shared" si="33"/>
        <v>0.8848242570523458</v>
      </c>
      <c r="V135" s="82"/>
      <c r="W135" s="504">
        <v>87</v>
      </c>
      <c r="X135" s="506" t="s">
        <v>740</v>
      </c>
      <c r="Y135" s="508">
        <v>20</v>
      </c>
      <c r="Z135" s="403">
        <v>0</v>
      </c>
      <c r="AA135" s="407">
        <f t="shared" si="34"/>
        <v>0.8848242570523458</v>
      </c>
      <c r="AB135" s="411"/>
      <c r="AC135" s="446"/>
    </row>
    <row r="136" spans="1:29">
      <c r="A136" s="67">
        <v>88</v>
      </c>
      <c r="B136" s="74" t="s">
        <v>107</v>
      </c>
      <c r="C136" s="125" t="s">
        <v>365</v>
      </c>
      <c r="D136" s="387">
        <f t="shared" si="24"/>
        <v>0</v>
      </c>
      <c r="E136" s="104">
        <f t="shared" si="22"/>
        <v>4</v>
      </c>
      <c r="F136" s="83">
        <f t="shared" si="35"/>
        <v>1351.5203999999999</v>
      </c>
      <c r="G136" s="83">
        <f t="shared" si="25"/>
        <v>0</v>
      </c>
      <c r="H136" s="483">
        <f t="shared" si="26"/>
        <v>0</v>
      </c>
      <c r="I136" s="83">
        <f>+'Costo adq'!C125*$I$1</f>
        <v>2957.1167999999998</v>
      </c>
      <c r="J136" s="83">
        <f t="shared" si="27"/>
        <v>0</v>
      </c>
      <c r="L136" s="54">
        <f>VLOOKUP(A136,'Precios oferta'!$A$30:$U$436,$B$5,FALSE)</f>
        <v>5229.0479999999998</v>
      </c>
      <c r="M136" s="48">
        <f>VLOOKUP(A136,'Precios piso'!$A$30:$U$436,$B$5,FALSE)</f>
        <v>1802.0272</v>
      </c>
      <c r="N136" s="105">
        <f t="shared" si="28"/>
        <v>0.65538140020898639</v>
      </c>
      <c r="O136" s="131">
        <f t="shared" si="23"/>
        <v>1585.783936</v>
      </c>
      <c r="P136" s="388">
        <f t="shared" si="29"/>
        <v>0.69673563218390799</v>
      </c>
      <c r="Q136" s="131">
        <f t="shared" si="30"/>
        <v>1441.62176</v>
      </c>
      <c r="R136" s="105">
        <f t="shared" si="31"/>
        <v>0.72430512016718906</v>
      </c>
      <c r="S136" s="131">
        <f t="shared" si="32"/>
        <v>1351.5203999999999</v>
      </c>
      <c r="T136" s="94">
        <f t="shared" si="33"/>
        <v>0.74153605015673985</v>
      </c>
      <c r="V136" s="82"/>
      <c r="W136" s="504">
        <v>88</v>
      </c>
      <c r="X136" s="506" t="s">
        <v>741</v>
      </c>
      <c r="Y136" s="508">
        <v>0</v>
      </c>
      <c r="Z136" s="403">
        <v>0</v>
      </c>
      <c r="AA136" s="407">
        <f t="shared" si="34"/>
        <v>0.74153605015673985</v>
      </c>
      <c r="AB136" s="411"/>
      <c r="AC136" s="446"/>
    </row>
    <row r="137" spans="1:29">
      <c r="A137" s="67">
        <v>89</v>
      </c>
      <c r="B137" s="74" t="s">
        <v>108</v>
      </c>
      <c r="C137" s="125" t="s">
        <v>365</v>
      </c>
      <c r="D137" s="387">
        <f t="shared" si="24"/>
        <v>0</v>
      </c>
      <c r="E137" s="104">
        <f t="shared" si="22"/>
        <v>4</v>
      </c>
      <c r="F137" s="83">
        <f t="shared" si="35"/>
        <v>1327.752</v>
      </c>
      <c r="G137" s="83">
        <f t="shared" si="25"/>
        <v>0</v>
      </c>
      <c r="H137" s="483">
        <f t="shared" si="26"/>
        <v>0</v>
      </c>
      <c r="I137" s="83">
        <f>+'Costo adq'!C126*$I$1</f>
        <v>1945.184</v>
      </c>
      <c r="J137" s="83">
        <f t="shared" si="27"/>
        <v>0</v>
      </c>
      <c r="L137" s="54">
        <f>VLOOKUP(A137,'Precios oferta'!$A$30:$U$436,$B$5,FALSE)</f>
        <v>3770.16</v>
      </c>
      <c r="M137" s="48">
        <f>VLOOKUP(A137,'Precios piso'!$A$30:$U$436,$B$5,FALSE)</f>
        <v>1770.336</v>
      </c>
      <c r="N137" s="105">
        <f t="shared" si="28"/>
        <v>0.5304347826086957</v>
      </c>
      <c r="O137" s="131">
        <f t="shared" si="23"/>
        <v>1557.8956800000001</v>
      </c>
      <c r="P137" s="388">
        <f t="shared" si="29"/>
        <v>0.58678260869565213</v>
      </c>
      <c r="Q137" s="131">
        <f t="shared" si="30"/>
        <v>1416.2688000000001</v>
      </c>
      <c r="R137" s="105">
        <f t="shared" si="31"/>
        <v>0.62434782608695649</v>
      </c>
      <c r="S137" s="131">
        <f t="shared" si="32"/>
        <v>1327.752</v>
      </c>
      <c r="T137" s="94">
        <f t="shared" si="33"/>
        <v>0.64782608695652177</v>
      </c>
      <c r="V137" s="82"/>
      <c r="W137" s="504">
        <v>89</v>
      </c>
      <c r="X137" s="506" t="s">
        <v>742</v>
      </c>
      <c r="Y137" s="508">
        <v>0</v>
      </c>
      <c r="Z137" s="403">
        <v>0</v>
      </c>
      <c r="AA137" s="407">
        <f t="shared" si="34"/>
        <v>0.64782608695652177</v>
      </c>
      <c r="AB137" s="411"/>
      <c r="AC137" s="446"/>
    </row>
    <row r="138" spans="1:29">
      <c r="A138" s="67">
        <v>90</v>
      </c>
      <c r="B138" s="74" t="s">
        <v>109</v>
      </c>
      <c r="C138" s="125" t="s">
        <v>365</v>
      </c>
      <c r="D138" s="387">
        <f t="shared" si="24"/>
        <v>5.25</v>
      </c>
      <c r="E138" s="104">
        <f t="shared" si="22"/>
        <v>4</v>
      </c>
      <c r="F138" s="83">
        <f t="shared" si="35"/>
        <v>2235.0491999999999</v>
      </c>
      <c r="G138" s="83">
        <f t="shared" si="25"/>
        <v>46936.033199999998</v>
      </c>
      <c r="H138" s="483">
        <f t="shared" si="26"/>
        <v>0</v>
      </c>
      <c r="I138" s="83">
        <f>+'Costo adq'!C127*$I$1</f>
        <v>11569.473599999999</v>
      </c>
      <c r="J138" s="83">
        <f t="shared" si="27"/>
        <v>242958.94559999998</v>
      </c>
      <c r="L138" s="54">
        <f>VLOOKUP(A138,'Precios oferta'!$A$30:$U$436,$B$5,FALSE)</f>
        <v>17467.315200000001</v>
      </c>
      <c r="M138" s="48">
        <f>VLOOKUP(A138,'Precios piso'!$A$30:$U$436,$B$5,FALSE)</f>
        <v>2980.0655999999999</v>
      </c>
      <c r="N138" s="105">
        <f t="shared" si="28"/>
        <v>0.82939189189189189</v>
      </c>
      <c r="O138" s="131">
        <f t="shared" si="23"/>
        <v>2622.4577279999999</v>
      </c>
      <c r="P138" s="388">
        <f t="shared" si="29"/>
        <v>0.8498648648648649</v>
      </c>
      <c r="Q138" s="131">
        <f t="shared" si="30"/>
        <v>2384.0524799999998</v>
      </c>
      <c r="R138" s="105">
        <f t="shared" si="31"/>
        <v>0.86351351351351346</v>
      </c>
      <c r="S138" s="131">
        <f t="shared" si="32"/>
        <v>2235.0491999999999</v>
      </c>
      <c r="T138" s="94">
        <f t="shared" si="33"/>
        <v>0.87204391891891897</v>
      </c>
      <c r="V138" s="82"/>
      <c r="W138" s="504">
        <v>90</v>
      </c>
      <c r="X138" s="506" t="s">
        <v>743</v>
      </c>
      <c r="Y138" s="508">
        <v>5.25</v>
      </c>
      <c r="Z138" s="403">
        <v>0</v>
      </c>
      <c r="AA138" s="407">
        <f t="shared" si="34"/>
        <v>0.87204391891891897</v>
      </c>
      <c r="AB138" s="411"/>
      <c r="AC138" s="446"/>
    </row>
    <row r="139" spans="1:29">
      <c r="A139" s="67">
        <v>91</v>
      </c>
      <c r="B139" s="74" t="s">
        <v>110</v>
      </c>
      <c r="C139" s="125" t="s">
        <v>365</v>
      </c>
      <c r="D139" s="387">
        <f t="shared" si="24"/>
        <v>0</v>
      </c>
      <c r="E139" s="104">
        <f t="shared" si="22"/>
        <v>4</v>
      </c>
      <c r="F139" s="83">
        <f t="shared" si="35"/>
        <v>3314.4623999999999</v>
      </c>
      <c r="G139" s="83">
        <f t="shared" si="25"/>
        <v>0</v>
      </c>
      <c r="H139" s="483">
        <f t="shared" si="26"/>
        <v>0</v>
      </c>
      <c r="I139" s="83">
        <f>+'Costo adq'!C128*$I$1</f>
        <v>14516.7552</v>
      </c>
      <c r="J139" s="83">
        <f t="shared" si="27"/>
        <v>0</v>
      </c>
      <c r="L139" s="54">
        <f>VLOOKUP(A139,'Precios oferta'!$A$30:$U$436,$B$5,FALSE)</f>
        <v>22375.08</v>
      </c>
      <c r="M139" s="48">
        <f>VLOOKUP(A139,'Precios piso'!$A$30:$U$436,$B$5,FALSE)</f>
        <v>4419.2831999999999</v>
      </c>
      <c r="N139" s="105">
        <f t="shared" si="28"/>
        <v>0.80249084249084257</v>
      </c>
      <c r="O139" s="131">
        <f t="shared" si="23"/>
        <v>3888.969216</v>
      </c>
      <c r="P139" s="388">
        <f t="shared" si="29"/>
        <v>0.82619194139194141</v>
      </c>
      <c r="Q139" s="131">
        <f t="shared" si="30"/>
        <v>3535.4265599999999</v>
      </c>
      <c r="R139" s="105">
        <f t="shared" si="31"/>
        <v>0.84199267399267397</v>
      </c>
      <c r="S139" s="131">
        <f t="shared" si="32"/>
        <v>3314.4623999999999</v>
      </c>
      <c r="T139" s="94">
        <f t="shared" si="33"/>
        <v>0.85186813186813182</v>
      </c>
      <c r="V139" s="82"/>
      <c r="W139" s="504">
        <v>91</v>
      </c>
      <c r="X139" s="506" t="s">
        <v>744</v>
      </c>
      <c r="Y139" s="508">
        <v>0</v>
      </c>
      <c r="Z139" s="403">
        <v>0</v>
      </c>
      <c r="AA139" s="407">
        <f t="shared" si="34"/>
        <v>0.85186813186813182</v>
      </c>
      <c r="AB139" s="411"/>
      <c r="AC139" s="446"/>
    </row>
    <row r="140" spans="1:29">
      <c r="A140" s="67">
        <v>92</v>
      </c>
      <c r="B140" s="74" t="s">
        <v>111</v>
      </c>
      <c r="C140" s="125" t="s">
        <v>365</v>
      </c>
      <c r="D140" s="387">
        <f t="shared" si="24"/>
        <v>21</v>
      </c>
      <c r="E140" s="104">
        <f t="shared" si="22"/>
        <v>4</v>
      </c>
      <c r="F140" s="83">
        <f t="shared" si="35"/>
        <v>3616.8948</v>
      </c>
      <c r="G140" s="83">
        <f t="shared" si="25"/>
        <v>303819.16320000001</v>
      </c>
      <c r="H140" s="483">
        <f t="shared" si="26"/>
        <v>0</v>
      </c>
      <c r="I140" s="83">
        <f>+'Costo adq'!C129*$I$1</f>
        <v>4293.6112000000003</v>
      </c>
      <c r="J140" s="83">
        <f t="shared" si="27"/>
        <v>360663.34080000001</v>
      </c>
      <c r="L140" s="54">
        <f>VLOOKUP(A140,'Precios oferta'!$A$30:$U$436,$B$5,FALSE)</f>
        <v>9209.0256000000008</v>
      </c>
      <c r="M140" s="48">
        <f>VLOOKUP(A140,'Precios piso'!$A$30:$U$436,$B$5,FALSE)</f>
        <v>4822.5263999999997</v>
      </c>
      <c r="N140" s="105">
        <f t="shared" si="28"/>
        <v>0.47632609469562126</v>
      </c>
      <c r="O140" s="131">
        <f t="shared" si="23"/>
        <v>4243.8232319999997</v>
      </c>
      <c r="P140" s="388">
        <f t="shared" si="29"/>
        <v>0.53916696333214675</v>
      </c>
      <c r="Q140" s="131">
        <f t="shared" si="30"/>
        <v>3858.0211199999999</v>
      </c>
      <c r="R140" s="105">
        <f t="shared" si="31"/>
        <v>0.58106087575649701</v>
      </c>
      <c r="S140" s="131">
        <f t="shared" si="32"/>
        <v>3616.8948</v>
      </c>
      <c r="T140" s="94">
        <f t="shared" si="33"/>
        <v>0.60724457102171603</v>
      </c>
      <c r="V140" s="82"/>
      <c r="W140" s="504">
        <v>92</v>
      </c>
      <c r="X140" s="506" t="s">
        <v>745</v>
      </c>
      <c r="Y140" s="508">
        <v>21</v>
      </c>
      <c r="Z140" s="403">
        <v>0</v>
      </c>
      <c r="AA140" s="407">
        <f t="shared" si="34"/>
        <v>0.60724457102171603</v>
      </c>
      <c r="AB140" s="411"/>
      <c r="AC140" s="446"/>
    </row>
    <row r="141" spans="1:29">
      <c r="A141" s="67">
        <v>93</v>
      </c>
      <c r="B141" s="74" t="s">
        <v>112</v>
      </c>
      <c r="C141" s="125" t="s">
        <v>365</v>
      </c>
      <c r="D141" s="387">
        <f t="shared" si="24"/>
        <v>0</v>
      </c>
      <c r="E141" s="104">
        <f t="shared" si="22"/>
        <v>4</v>
      </c>
      <c r="F141" s="83">
        <f t="shared" si="35"/>
        <v>4312.7351999999992</v>
      </c>
      <c r="G141" s="83">
        <f t="shared" si="25"/>
        <v>0</v>
      </c>
      <c r="H141" s="483">
        <f t="shared" si="26"/>
        <v>0</v>
      </c>
      <c r="I141" s="83">
        <f>+'Costo adq'!C130*$I$1</f>
        <v>6083.6175999999996</v>
      </c>
      <c r="J141" s="83">
        <f t="shared" si="27"/>
        <v>0</v>
      </c>
      <c r="L141" s="54">
        <f>VLOOKUP(A141,'Precios oferta'!$A$30:$U$436,$B$5,FALSE)</f>
        <v>11409.924800000001</v>
      </c>
      <c r="M141" s="48">
        <f>VLOOKUP(A141,'Precios piso'!$A$30:$U$436,$B$5,FALSE)</f>
        <v>5750.3135999999995</v>
      </c>
      <c r="N141" s="105">
        <f t="shared" si="28"/>
        <v>0.49602528493439335</v>
      </c>
      <c r="O141" s="131">
        <f t="shared" si="23"/>
        <v>5060.2759679999999</v>
      </c>
      <c r="P141" s="388">
        <f t="shared" si="29"/>
        <v>0.55650225074226611</v>
      </c>
      <c r="Q141" s="131">
        <f t="shared" si="30"/>
        <v>4600.2508799999996</v>
      </c>
      <c r="R141" s="105">
        <f t="shared" si="31"/>
        <v>0.59682022794751466</v>
      </c>
      <c r="S141" s="131">
        <f t="shared" si="32"/>
        <v>4312.7351999999992</v>
      </c>
      <c r="T141" s="94">
        <f t="shared" si="33"/>
        <v>0.62201896370079501</v>
      </c>
      <c r="V141" s="82"/>
      <c r="W141" s="504">
        <v>93</v>
      </c>
      <c r="X141" s="506" t="s">
        <v>746</v>
      </c>
      <c r="Y141" s="508">
        <v>0</v>
      </c>
      <c r="Z141" s="403">
        <v>0</v>
      </c>
      <c r="AA141" s="407">
        <f t="shared" si="34"/>
        <v>0.62201896370079501</v>
      </c>
      <c r="AB141" s="411"/>
      <c r="AC141" s="446">
        <v>0.60535000000000005</v>
      </c>
    </row>
    <row r="142" spans="1:29">
      <c r="A142" s="67">
        <v>94</v>
      </c>
      <c r="B142" s="74" t="s">
        <v>113</v>
      </c>
      <c r="C142" s="125" t="s">
        <v>365</v>
      </c>
      <c r="D142" s="387">
        <f t="shared" si="24"/>
        <v>20</v>
      </c>
      <c r="E142" s="104">
        <f t="shared" si="22"/>
        <v>4</v>
      </c>
      <c r="F142" s="83">
        <f t="shared" si="35"/>
        <v>4449.6084000000001</v>
      </c>
      <c r="G142" s="83">
        <f t="shared" si="25"/>
        <v>355968.67200000002</v>
      </c>
      <c r="H142" s="483">
        <f t="shared" si="26"/>
        <v>0</v>
      </c>
      <c r="I142" s="83">
        <f>+'Costo adq'!C131*$I$1</f>
        <v>5680.3743999999997</v>
      </c>
      <c r="J142" s="83">
        <f t="shared" si="27"/>
        <v>454429.95199999999</v>
      </c>
      <c r="L142" s="54">
        <f>VLOOKUP(A142,'Precios oferta'!$A$30:$U$436,$B$5,FALSE)</f>
        <v>13017.4336</v>
      </c>
      <c r="M142" s="48">
        <f>VLOOKUP(A142,'Precios piso'!$A$30:$U$436,$B$5,FALSE)</f>
        <v>5932.8112000000001</v>
      </c>
      <c r="N142" s="105">
        <f t="shared" si="28"/>
        <v>0.54424110141034254</v>
      </c>
      <c r="O142" s="131">
        <f t="shared" si="23"/>
        <v>5220.8738560000002</v>
      </c>
      <c r="P142" s="388">
        <f t="shared" si="29"/>
        <v>0.59893216924110138</v>
      </c>
      <c r="Q142" s="131">
        <f t="shared" si="30"/>
        <v>4746.2489599999999</v>
      </c>
      <c r="R142" s="105">
        <f t="shared" si="31"/>
        <v>0.63539288112827408</v>
      </c>
      <c r="S142" s="131">
        <f t="shared" si="32"/>
        <v>4449.6084000000001</v>
      </c>
      <c r="T142" s="94">
        <f t="shared" si="33"/>
        <v>0.65818082605775685</v>
      </c>
      <c r="V142" s="82"/>
      <c r="W142" s="504">
        <v>94</v>
      </c>
      <c r="X142" s="506" t="s">
        <v>747</v>
      </c>
      <c r="Y142" s="508">
        <v>20</v>
      </c>
      <c r="Z142" s="403">
        <v>0</v>
      </c>
      <c r="AA142" s="407">
        <f t="shared" si="34"/>
        <v>0.65818082605775685</v>
      </c>
      <c r="AB142" s="411"/>
      <c r="AC142" s="446"/>
    </row>
    <row r="143" spans="1:29">
      <c r="A143" s="67">
        <v>95</v>
      </c>
      <c r="B143" s="74" t="s">
        <v>114</v>
      </c>
      <c r="C143" s="125" t="s">
        <v>365</v>
      </c>
      <c r="D143" s="387">
        <f t="shared" si="24"/>
        <v>50</v>
      </c>
      <c r="E143" s="104">
        <f t="shared" si="22"/>
        <v>4</v>
      </c>
      <c r="F143" s="83">
        <f t="shared" si="35"/>
        <v>3430.0260000000003</v>
      </c>
      <c r="G143" s="83">
        <f t="shared" si="25"/>
        <v>686005.20000000007</v>
      </c>
      <c r="H143" s="483">
        <f t="shared" si="26"/>
        <v>0</v>
      </c>
      <c r="I143" s="83">
        <f>+'Costo adq'!C132*$I$1</f>
        <v>10158.668799999999</v>
      </c>
      <c r="J143" s="83">
        <f t="shared" si="27"/>
        <v>2031733.7599999998</v>
      </c>
      <c r="L143" s="54">
        <f>VLOOKUP(A143,'Precios oferta'!$A$30:$U$436,$B$5,FALSE)</f>
        <v>18926.2032</v>
      </c>
      <c r="M143" s="48">
        <f>VLOOKUP(A143,'Precios piso'!$A$30:$U$436,$B$5,FALSE)</f>
        <v>4573.3680000000004</v>
      </c>
      <c r="N143" s="105">
        <f t="shared" si="28"/>
        <v>0.75835787285640044</v>
      </c>
      <c r="O143" s="131">
        <f t="shared" si="23"/>
        <v>4024.5638400000003</v>
      </c>
      <c r="P143" s="388">
        <f t="shared" si="29"/>
        <v>0.78735492811363239</v>
      </c>
      <c r="Q143" s="131">
        <f t="shared" si="30"/>
        <v>3658.6944000000003</v>
      </c>
      <c r="R143" s="105">
        <f t="shared" si="31"/>
        <v>0.8066862982851204</v>
      </c>
      <c r="S143" s="131">
        <f t="shared" si="32"/>
        <v>3430.0260000000003</v>
      </c>
      <c r="T143" s="94">
        <f t="shared" si="33"/>
        <v>0.81876840464230038</v>
      </c>
      <c r="V143" s="82"/>
      <c r="W143" s="504">
        <v>95</v>
      </c>
      <c r="X143" s="506" t="s">
        <v>748</v>
      </c>
      <c r="Y143" s="508">
        <v>50</v>
      </c>
      <c r="Z143" s="403">
        <v>0</v>
      </c>
      <c r="AA143" s="407">
        <f t="shared" si="34"/>
        <v>0.81876840464230038</v>
      </c>
      <c r="AB143" s="411"/>
      <c r="AC143" s="446"/>
    </row>
    <row r="144" spans="1:29">
      <c r="A144" s="67">
        <v>96</v>
      </c>
      <c r="B144" s="74" t="s">
        <v>115</v>
      </c>
      <c r="C144" s="125" t="s">
        <v>365</v>
      </c>
      <c r="D144" s="387">
        <f t="shared" si="24"/>
        <v>0</v>
      </c>
      <c r="E144" s="104">
        <f t="shared" si="22"/>
        <v>4</v>
      </c>
      <c r="F144" s="83">
        <f t="shared" si="35"/>
        <v>2503.0583999999999</v>
      </c>
      <c r="G144" s="83">
        <f t="shared" si="25"/>
        <v>0</v>
      </c>
      <c r="H144" s="483">
        <f t="shared" si="26"/>
        <v>0</v>
      </c>
      <c r="I144" s="83">
        <f>+'Costo adq'!C133*$I$1</f>
        <v>5768.8912</v>
      </c>
      <c r="J144" s="83">
        <f t="shared" si="27"/>
        <v>0</v>
      </c>
      <c r="L144" s="54">
        <f>VLOOKUP(A144,'Precios oferta'!$A$30:$U$436,$B$5,FALSE)</f>
        <v>10705.068799999999</v>
      </c>
      <c r="M144" s="48">
        <f>VLOOKUP(A144,'Precios piso'!$A$30:$U$436,$B$5,FALSE)</f>
        <v>3337.4112</v>
      </c>
      <c r="N144" s="105">
        <f t="shared" si="28"/>
        <v>0.68824009799918329</v>
      </c>
      <c r="O144" s="131">
        <f t="shared" si="23"/>
        <v>2936.9218559999999</v>
      </c>
      <c r="P144" s="388">
        <f t="shared" si="29"/>
        <v>0.72565128623928132</v>
      </c>
      <c r="Q144" s="131">
        <f t="shared" si="30"/>
        <v>2669.9289600000002</v>
      </c>
      <c r="R144" s="105">
        <f t="shared" si="31"/>
        <v>0.75059207839934661</v>
      </c>
      <c r="S144" s="131">
        <f t="shared" si="32"/>
        <v>2503.0583999999999</v>
      </c>
      <c r="T144" s="94">
        <f t="shared" si="33"/>
        <v>0.76618007349938755</v>
      </c>
      <c r="V144" s="82"/>
      <c r="W144" s="504">
        <v>96</v>
      </c>
      <c r="X144" s="506" t="s">
        <v>749</v>
      </c>
      <c r="Y144" s="508">
        <v>0</v>
      </c>
      <c r="Z144" s="403">
        <v>0</v>
      </c>
      <c r="AA144" s="407">
        <f t="shared" si="34"/>
        <v>0.76618007349938755</v>
      </c>
      <c r="AB144" s="411"/>
      <c r="AC144" s="446"/>
    </row>
    <row r="145" spans="1:29">
      <c r="A145" s="67">
        <v>97</v>
      </c>
      <c r="B145" s="74" t="s">
        <v>116</v>
      </c>
      <c r="C145" s="125" t="s">
        <v>365</v>
      </c>
      <c r="D145" s="387">
        <f t="shared" si="24"/>
        <v>60</v>
      </c>
      <c r="E145" s="104">
        <f t="shared" si="22"/>
        <v>4</v>
      </c>
      <c r="F145" s="83">
        <f t="shared" si="35"/>
        <v>1351.5203999999999</v>
      </c>
      <c r="G145" s="83">
        <f t="shared" si="25"/>
        <v>324364.89599999995</v>
      </c>
      <c r="H145" s="483">
        <f t="shared" si="26"/>
        <v>0</v>
      </c>
      <c r="I145" s="83">
        <f>+'Costo adq'!C134*$I$1</f>
        <v>2957.1167999999998</v>
      </c>
      <c r="J145" s="83">
        <f t="shared" si="27"/>
        <v>709708.03199999989</v>
      </c>
      <c r="L145" s="54">
        <f>VLOOKUP(A145,'Precios oferta'!$A$30:$U$436,$B$5,FALSE)</f>
        <v>5217.0272000000004</v>
      </c>
      <c r="M145" s="48">
        <f>VLOOKUP(A145,'Precios piso'!$A$30:$U$436,$B$5,FALSE)</f>
        <v>1802.0272</v>
      </c>
      <c r="N145" s="105">
        <f t="shared" si="28"/>
        <v>0.65458734813573527</v>
      </c>
      <c r="O145" s="131">
        <f t="shared" si="23"/>
        <v>1585.783936</v>
      </c>
      <c r="P145" s="388">
        <f t="shared" si="29"/>
        <v>0.69603686635944695</v>
      </c>
      <c r="Q145" s="131">
        <f t="shared" si="30"/>
        <v>1441.62176</v>
      </c>
      <c r="R145" s="105">
        <f t="shared" si="31"/>
        <v>0.72366987850858822</v>
      </c>
      <c r="S145" s="131">
        <f t="shared" si="32"/>
        <v>1351.5203999999999</v>
      </c>
      <c r="T145" s="94">
        <f t="shared" si="33"/>
        <v>0.74094051110180148</v>
      </c>
      <c r="V145" s="82"/>
      <c r="W145" s="504">
        <v>97</v>
      </c>
      <c r="X145" s="506" t="s">
        <v>750</v>
      </c>
      <c r="Y145" s="508">
        <v>60</v>
      </c>
      <c r="Z145" s="403">
        <v>0</v>
      </c>
      <c r="AA145" s="407">
        <f t="shared" si="34"/>
        <v>0.74094051110180148</v>
      </c>
      <c r="AB145" s="411"/>
      <c r="AC145" s="446"/>
    </row>
    <row r="146" spans="1:29">
      <c r="A146" s="67">
        <v>98</v>
      </c>
      <c r="B146" s="74" t="s">
        <v>117</v>
      </c>
      <c r="C146" s="125" t="s">
        <v>365</v>
      </c>
      <c r="D146" s="387">
        <f t="shared" si="24"/>
        <v>4</v>
      </c>
      <c r="E146" s="104">
        <f t="shared" si="22"/>
        <v>4</v>
      </c>
      <c r="F146" s="83">
        <f t="shared" si="35"/>
        <v>2903.0232000000001</v>
      </c>
      <c r="G146" s="83">
        <f t="shared" si="25"/>
        <v>46448.371200000001</v>
      </c>
      <c r="H146" s="483">
        <f t="shared" si="26"/>
        <v>0</v>
      </c>
      <c r="I146" s="83">
        <f>+'Costo adq'!C135*$I$1</f>
        <v>3978.8847999999998</v>
      </c>
      <c r="J146" s="83">
        <f t="shared" si="27"/>
        <v>63662.156799999997</v>
      </c>
      <c r="L146" s="54">
        <f>VLOOKUP(A146,'Precios oferta'!$A$30:$U$436,$B$5,FALSE)</f>
        <v>7688.9408000000003</v>
      </c>
      <c r="M146" s="48">
        <f>VLOOKUP(A146,'Precios piso'!$A$30:$U$436,$B$5,FALSE)</f>
        <v>3870.6976</v>
      </c>
      <c r="N146" s="105">
        <f t="shared" si="28"/>
        <v>0.49658897100625354</v>
      </c>
      <c r="O146" s="131">
        <f t="shared" si="23"/>
        <v>3406.2138880000002</v>
      </c>
      <c r="P146" s="388">
        <f t="shared" si="29"/>
        <v>0.5569982944855032</v>
      </c>
      <c r="Q146" s="131">
        <f t="shared" si="30"/>
        <v>3096.5580799999998</v>
      </c>
      <c r="R146" s="105">
        <f t="shared" si="31"/>
        <v>0.59727117680500297</v>
      </c>
      <c r="S146" s="131">
        <f t="shared" si="32"/>
        <v>2903.0232000000001</v>
      </c>
      <c r="T146" s="94">
        <f t="shared" si="33"/>
        <v>0.62244172825469013</v>
      </c>
      <c r="V146" s="82"/>
      <c r="W146" s="504">
        <v>98</v>
      </c>
      <c r="X146" s="506" t="s">
        <v>751</v>
      </c>
      <c r="Y146" s="508">
        <v>4</v>
      </c>
      <c r="Z146" s="403">
        <v>0</v>
      </c>
      <c r="AA146" s="407">
        <f t="shared" si="34"/>
        <v>0.62244172825469013</v>
      </c>
      <c r="AB146" s="411"/>
      <c r="AC146" s="446"/>
    </row>
    <row r="147" spans="1:29">
      <c r="A147" s="67">
        <v>99</v>
      </c>
      <c r="B147" s="74" t="s">
        <v>118</v>
      </c>
      <c r="C147" s="125" t="s">
        <v>365</v>
      </c>
      <c r="D147" s="387">
        <f t="shared" si="24"/>
        <v>0</v>
      </c>
      <c r="E147" s="104">
        <f t="shared" si="22"/>
        <v>4</v>
      </c>
      <c r="F147" s="83">
        <f t="shared" si="35"/>
        <v>11371.95</v>
      </c>
      <c r="G147" s="83">
        <f t="shared" si="25"/>
        <v>0</v>
      </c>
      <c r="H147" s="483">
        <f t="shared" si="26"/>
        <v>0</v>
      </c>
      <c r="I147" s="83">
        <f>+'Costo adq'!C136*$I$1</f>
        <v>11049.300799999999</v>
      </c>
      <c r="J147" s="83">
        <f t="shared" si="27"/>
        <v>0</v>
      </c>
      <c r="L147" s="54">
        <f>VLOOKUP(A147,'Precios oferta'!$A$30:$U$436,$B$5,FALSE)</f>
        <v>30162.372800000001</v>
      </c>
      <c r="M147" s="48">
        <f>VLOOKUP(A147,'Precios piso'!$A$30:$U$436,$B$5,FALSE)</f>
        <v>15162.6</v>
      </c>
      <c r="N147" s="105">
        <f t="shared" si="28"/>
        <v>0.49730082243396978</v>
      </c>
      <c r="O147" s="131">
        <f t="shared" si="23"/>
        <v>13343.088</v>
      </c>
      <c r="P147" s="388">
        <f t="shared" si="29"/>
        <v>0.55762472374189342</v>
      </c>
      <c r="Q147" s="131">
        <f t="shared" si="30"/>
        <v>12130.08</v>
      </c>
      <c r="R147" s="105">
        <f t="shared" si="31"/>
        <v>0.59784065794717578</v>
      </c>
      <c r="S147" s="131">
        <f t="shared" si="32"/>
        <v>11371.95</v>
      </c>
      <c r="T147" s="94">
        <f t="shared" si="33"/>
        <v>0.62297561682547731</v>
      </c>
      <c r="V147" s="82"/>
      <c r="W147" s="504">
        <v>99</v>
      </c>
      <c r="X147" s="506" t="s">
        <v>752</v>
      </c>
      <c r="Y147" s="508">
        <v>0</v>
      </c>
      <c r="Z147" s="403">
        <v>0</v>
      </c>
      <c r="AA147" s="407">
        <f t="shared" si="34"/>
        <v>0.62297561682547731</v>
      </c>
      <c r="AB147" s="411"/>
      <c r="AC147" s="446"/>
    </row>
    <row r="148" spans="1:29">
      <c r="A148" s="67">
        <v>100</v>
      </c>
      <c r="B148" s="74" t="s">
        <v>119</v>
      </c>
      <c r="C148" s="125" t="s">
        <v>365</v>
      </c>
      <c r="D148" s="387">
        <f t="shared" si="24"/>
        <v>0</v>
      </c>
      <c r="E148" s="104">
        <f t="shared" si="22"/>
        <v>4</v>
      </c>
      <c r="F148" s="83">
        <f t="shared" si="35"/>
        <v>11588.324400000001</v>
      </c>
      <c r="G148" s="83">
        <f t="shared" si="25"/>
        <v>0</v>
      </c>
      <c r="H148" s="483">
        <f t="shared" si="26"/>
        <v>0</v>
      </c>
      <c r="I148" s="83">
        <f>+'Costo adq'!C137*$I$1</f>
        <v>11049.300799999999</v>
      </c>
      <c r="J148" s="83">
        <f t="shared" si="27"/>
        <v>0</v>
      </c>
      <c r="L148" s="54">
        <f>VLOOKUP(A148,'Precios oferta'!$A$30:$U$436,$B$5,FALSE)</f>
        <v>30348.148799999999</v>
      </c>
      <c r="M148" s="48">
        <f>VLOOKUP(A148,'Precios piso'!$A$30:$U$436,$B$5,FALSE)</f>
        <v>15451.099200000001</v>
      </c>
      <c r="N148" s="105">
        <f t="shared" si="28"/>
        <v>0.49087177271254179</v>
      </c>
      <c r="O148" s="131">
        <f t="shared" si="23"/>
        <v>13596.967296000001</v>
      </c>
      <c r="P148" s="388">
        <f t="shared" si="29"/>
        <v>0.55196715998703683</v>
      </c>
      <c r="Q148" s="131">
        <f t="shared" si="30"/>
        <v>12360.879360000001</v>
      </c>
      <c r="R148" s="105">
        <f t="shared" si="31"/>
        <v>0.59269741817003352</v>
      </c>
      <c r="S148" s="131">
        <f t="shared" si="32"/>
        <v>11588.324400000001</v>
      </c>
      <c r="T148" s="94">
        <f t="shared" si="33"/>
        <v>0.61815382953440634</v>
      </c>
      <c r="V148" s="82"/>
      <c r="W148" s="504">
        <v>100</v>
      </c>
      <c r="X148" s="506" t="s">
        <v>753</v>
      </c>
      <c r="Y148" s="508">
        <v>0</v>
      </c>
      <c r="Z148" s="403">
        <v>0</v>
      </c>
      <c r="AA148" s="407">
        <f t="shared" si="34"/>
        <v>0.61815382953440634</v>
      </c>
      <c r="AB148" s="411"/>
      <c r="AC148" s="446"/>
    </row>
    <row r="149" spans="1:29">
      <c r="A149" s="67">
        <v>101</v>
      </c>
      <c r="B149" s="74" t="s">
        <v>120</v>
      </c>
      <c r="C149" s="125" t="s">
        <v>365</v>
      </c>
      <c r="D149" s="387">
        <f t="shared" si="24"/>
        <v>0</v>
      </c>
      <c r="E149" s="104">
        <f t="shared" si="22"/>
        <v>4</v>
      </c>
      <c r="F149" s="83">
        <f t="shared" si="35"/>
        <v>12141.554400000001</v>
      </c>
      <c r="G149" s="83">
        <f t="shared" si="25"/>
        <v>0</v>
      </c>
      <c r="H149" s="483">
        <f t="shared" si="26"/>
        <v>0</v>
      </c>
      <c r="I149" s="83">
        <f>+'Costo adq'!C138*$I$1</f>
        <v>18630.054400000001</v>
      </c>
      <c r="J149" s="83">
        <f t="shared" si="27"/>
        <v>0</v>
      </c>
      <c r="L149" s="54">
        <f>VLOOKUP(A149,'Precios oferta'!$A$30:$U$436,$B$5,FALSE)</f>
        <v>42153.667199999996</v>
      </c>
      <c r="M149" s="48">
        <f>VLOOKUP(A149,'Precios piso'!$A$30:$U$436,$B$5,FALSE)</f>
        <v>16188.7392</v>
      </c>
      <c r="N149" s="105">
        <f t="shared" si="28"/>
        <v>0.61595893607092855</v>
      </c>
      <c r="O149" s="131">
        <f t="shared" si="23"/>
        <v>14246.090496000001</v>
      </c>
      <c r="P149" s="388">
        <f t="shared" si="29"/>
        <v>0.66204386374241708</v>
      </c>
      <c r="Q149" s="131">
        <f t="shared" si="30"/>
        <v>12950.99136</v>
      </c>
      <c r="R149" s="105">
        <f t="shared" si="31"/>
        <v>0.69276714885674284</v>
      </c>
      <c r="S149" s="131">
        <f t="shared" si="32"/>
        <v>12141.554400000001</v>
      </c>
      <c r="T149" s="94">
        <f t="shared" si="33"/>
        <v>0.71196920205319647</v>
      </c>
      <c r="V149" s="82"/>
      <c r="W149" s="504">
        <v>101</v>
      </c>
      <c r="X149" s="506" t="s">
        <v>754</v>
      </c>
      <c r="Y149" s="508">
        <v>0</v>
      </c>
      <c r="Z149" s="403">
        <v>0</v>
      </c>
      <c r="AA149" s="407">
        <f t="shared" si="34"/>
        <v>0.71196920205319647</v>
      </c>
      <c r="AB149" s="411"/>
      <c r="AC149" s="446"/>
    </row>
    <row r="150" spans="1:29">
      <c r="A150" s="67">
        <v>102</v>
      </c>
      <c r="B150" s="74" t="s">
        <v>121</v>
      </c>
      <c r="C150" s="125" t="s">
        <v>365</v>
      </c>
      <c r="D150" s="387">
        <f t="shared" si="24"/>
        <v>0</v>
      </c>
      <c r="E150" s="104">
        <f t="shared" si="22"/>
        <v>4</v>
      </c>
      <c r="F150" s="83">
        <f t="shared" si="35"/>
        <v>12141.554400000001</v>
      </c>
      <c r="G150" s="83">
        <f t="shared" si="25"/>
        <v>0</v>
      </c>
      <c r="H150" s="483">
        <f t="shared" si="26"/>
        <v>0</v>
      </c>
      <c r="I150" s="83">
        <f>+'Costo adq'!C139*$I$1</f>
        <v>18630.054400000001</v>
      </c>
      <c r="J150" s="83">
        <f t="shared" si="27"/>
        <v>0</v>
      </c>
      <c r="L150" s="54">
        <f>VLOOKUP(A150,'Precios oferta'!$A$30:$U$436,$B$5,FALSE)</f>
        <v>42141.646399999998</v>
      </c>
      <c r="M150" s="48">
        <f>VLOOKUP(A150,'Precios piso'!$A$30:$U$436,$B$5,FALSE)</f>
        <v>16188.7392</v>
      </c>
      <c r="N150" s="105">
        <f t="shared" si="28"/>
        <v>0.61584938931099753</v>
      </c>
      <c r="O150" s="131">
        <f t="shared" si="23"/>
        <v>14246.090496000001</v>
      </c>
      <c r="P150" s="388">
        <f t="shared" si="29"/>
        <v>0.66194746259367787</v>
      </c>
      <c r="Q150" s="131">
        <f t="shared" si="30"/>
        <v>12950.99136</v>
      </c>
      <c r="R150" s="105">
        <f t="shared" si="31"/>
        <v>0.69267951144879802</v>
      </c>
      <c r="S150" s="131">
        <f t="shared" si="32"/>
        <v>12141.554400000001</v>
      </c>
      <c r="T150" s="94">
        <f t="shared" si="33"/>
        <v>0.71188704198324815</v>
      </c>
      <c r="V150" s="82"/>
      <c r="W150" s="504">
        <v>102</v>
      </c>
      <c r="X150" s="506" t="s">
        <v>755</v>
      </c>
      <c r="Y150" s="508">
        <v>0</v>
      </c>
      <c r="Z150" s="403">
        <v>0</v>
      </c>
      <c r="AA150" s="407">
        <f t="shared" si="34"/>
        <v>0.71188704198324815</v>
      </c>
      <c r="AB150" s="411"/>
      <c r="AC150" s="446"/>
    </row>
    <row r="151" spans="1:29">
      <c r="A151" s="67">
        <v>103</v>
      </c>
      <c r="B151" s="74" t="s">
        <v>122</v>
      </c>
      <c r="C151" s="125" t="s">
        <v>365</v>
      </c>
      <c r="D151" s="387">
        <f t="shared" si="24"/>
        <v>0</v>
      </c>
      <c r="E151" s="104">
        <f t="shared" si="22"/>
        <v>4</v>
      </c>
      <c r="F151" s="83">
        <f t="shared" si="35"/>
        <v>9386.0591999999997</v>
      </c>
      <c r="G151" s="83">
        <f t="shared" si="25"/>
        <v>0</v>
      </c>
      <c r="H151" s="483">
        <f t="shared" si="26"/>
        <v>0</v>
      </c>
      <c r="I151" s="83">
        <f>+'Costo adq'!C140*$I$1</f>
        <v>11049.300799999999</v>
      </c>
      <c r="J151" s="83">
        <f t="shared" si="27"/>
        <v>0</v>
      </c>
      <c r="L151" s="54">
        <f>VLOOKUP(A151,'Precios oferta'!$A$30:$U$436,$B$5,FALSE)</f>
        <v>37764.982400000001</v>
      </c>
      <c r="M151" s="48">
        <f>VLOOKUP(A151,'Precios piso'!$A$30:$U$436,$B$5,FALSE)</f>
        <v>12514.7456</v>
      </c>
      <c r="N151" s="105">
        <f t="shared" si="28"/>
        <v>0.66861508189131313</v>
      </c>
      <c r="O151" s="131">
        <f t="shared" si="23"/>
        <v>11012.976128</v>
      </c>
      <c r="P151" s="388">
        <f t="shared" si="29"/>
        <v>0.70838127206435564</v>
      </c>
      <c r="Q151" s="131">
        <f t="shared" si="30"/>
        <v>10011.796480000001</v>
      </c>
      <c r="R151" s="105">
        <f t="shared" si="31"/>
        <v>0.73489206551305053</v>
      </c>
      <c r="S151" s="131">
        <f t="shared" si="32"/>
        <v>9386.0591999999997</v>
      </c>
      <c r="T151" s="94">
        <f t="shared" si="33"/>
        <v>0.75146131141848493</v>
      </c>
      <c r="V151" s="82"/>
      <c r="W151" s="504">
        <v>103</v>
      </c>
      <c r="X151" s="506" t="s">
        <v>756</v>
      </c>
      <c r="Y151" s="508">
        <v>0</v>
      </c>
      <c r="Z151" s="403">
        <v>0</v>
      </c>
      <c r="AA151" s="407">
        <f t="shared" si="34"/>
        <v>0.75146131141848493</v>
      </c>
      <c r="AB151" s="411"/>
      <c r="AC151" s="446"/>
    </row>
    <row r="152" spans="1:29">
      <c r="A152" s="67">
        <v>104</v>
      </c>
      <c r="B152" s="74" t="s">
        <v>123</v>
      </c>
      <c r="C152" s="125" t="s">
        <v>365</v>
      </c>
      <c r="D152" s="387">
        <f t="shared" si="24"/>
        <v>0</v>
      </c>
      <c r="E152" s="104">
        <f t="shared" si="22"/>
        <v>4</v>
      </c>
      <c r="F152" s="83">
        <f t="shared" si="35"/>
        <v>32575.821600000003</v>
      </c>
      <c r="G152" s="83">
        <f t="shared" si="25"/>
        <v>0</v>
      </c>
      <c r="H152" s="483">
        <f t="shared" si="26"/>
        <v>0</v>
      </c>
      <c r="I152" s="83">
        <f>+'Costo adq'!C141*$I$1</f>
        <v>116388.664</v>
      </c>
      <c r="J152" s="83">
        <f t="shared" si="27"/>
        <v>0</v>
      </c>
      <c r="L152" s="54">
        <f>VLOOKUP(A152,'Precios oferta'!$A$30:$U$436,$B$5,FALSE)</f>
        <v>145460.42240000001</v>
      </c>
      <c r="M152" s="48">
        <f>VLOOKUP(A152,'Precios piso'!$A$30:$U$436,$B$5,FALSE)</f>
        <v>43434.428800000002</v>
      </c>
      <c r="N152" s="105">
        <f t="shared" si="28"/>
        <v>0.70140036661958716</v>
      </c>
      <c r="O152" s="131">
        <f t="shared" si="23"/>
        <v>38222.297343999999</v>
      </c>
      <c r="P152" s="388">
        <f t="shared" si="29"/>
        <v>0.73723232262523664</v>
      </c>
      <c r="Q152" s="131">
        <f t="shared" si="30"/>
        <v>34747.543040000004</v>
      </c>
      <c r="R152" s="105">
        <f t="shared" si="31"/>
        <v>0.76112029329566966</v>
      </c>
      <c r="S152" s="131">
        <f t="shared" si="32"/>
        <v>32575.821600000003</v>
      </c>
      <c r="T152" s="94">
        <f t="shared" si="33"/>
        <v>0.77605027496469026</v>
      </c>
      <c r="V152" s="82"/>
      <c r="W152" s="504">
        <v>104</v>
      </c>
      <c r="X152" s="506" t="s">
        <v>757</v>
      </c>
      <c r="Y152" s="508">
        <v>0</v>
      </c>
      <c r="Z152" s="403">
        <v>0</v>
      </c>
      <c r="AA152" s="407">
        <f t="shared" si="34"/>
        <v>0.77605027496469026</v>
      </c>
      <c r="AB152" s="411"/>
      <c r="AC152" s="446"/>
    </row>
    <row r="153" spans="1:29">
      <c r="A153" s="67">
        <v>105</v>
      </c>
      <c r="B153" s="74" t="s">
        <v>124</v>
      </c>
      <c r="C153" s="125" t="s">
        <v>365</v>
      </c>
      <c r="D153" s="387">
        <f t="shared" si="24"/>
        <v>0</v>
      </c>
      <c r="E153" s="104">
        <f t="shared" si="22"/>
        <v>4</v>
      </c>
      <c r="F153" s="83">
        <f t="shared" si="35"/>
        <v>589.29240000000004</v>
      </c>
      <c r="G153" s="83">
        <f t="shared" si="25"/>
        <v>0</v>
      </c>
      <c r="H153" s="483">
        <f t="shared" si="26"/>
        <v>0</v>
      </c>
      <c r="I153" s="83">
        <f>+'Costo adq'!C142*$I$1</f>
        <v>97532.4</v>
      </c>
      <c r="J153" s="83">
        <f t="shared" si="27"/>
        <v>0</v>
      </c>
      <c r="L153" s="54">
        <f>VLOOKUP(A153,'Precios oferta'!$A$30:$U$436,$B$5,FALSE)</f>
        <v>165536.2512</v>
      </c>
      <c r="M153" s="48">
        <f>VLOOKUP(A153,'Precios piso'!$A$30:$U$436,$B$5,FALSE)</f>
        <v>785.72320000000002</v>
      </c>
      <c r="N153" s="105">
        <f t="shared" si="28"/>
        <v>0.99525346747734011</v>
      </c>
      <c r="O153" s="131">
        <f t="shared" si="23"/>
        <v>691.43641600000001</v>
      </c>
      <c r="P153" s="388">
        <f t="shared" si="29"/>
        <v>0.99582305138005933</v>
      </c>
      <c r="Q153" s="131">
        <f t="shared" si="30"/>
        <v>628.57856000000004</v>
      </c>
      <c r="R153" s="105">
        <f t="shared" si="31"/>
        <v>0.99620277398187207</v>
      </c>
      <c r="S153" s="131">
        <f t="shared" si="32"/>
        <v>589.29240000000004</v>
      </c>
      <c r="T153" s="94">
        <f t="shared" si="33"/>
        <v>0.99644010060800503</v>
      </c>
      <c r="V153" s="82"/>
      <c r="W153" s="504">
        <v>105</v>
      </c>
      <c r="X153" s="506" t="s">
        <v>758</v>
      </c>
      <c r="Y153" s="508">
        <v>0</v>
      </c>
      <c r="Z153" s="403">
        <v>0</v>
      </c>
      <c r="AA153" s="407">
        <f t="shared" si="34"/>
        <v>0.99644010060800503</v>
      </c>
      <c r="AB153" s="411"/>
      <c r="AC153" s="446"/>
    </row>
    <row r="154" spans="1:29">
      <c r="A154" s="67">
        <v>106</v>
      </c>
      <c r="B154" s="74" t="s">
        <v>125</v>
      </c>
      <c r="C154" s="125" t="s">
        <v>365</v>
      </c>
      <c r="D154" s="387">
        <f t="shared" si="24"/>
        <v>30</v>
      </c>
      <c r="E154" s="104">
        <f t="shared" si="22"/>
        <v>4</v>
      </c>
      <c r="F154" s="83">
        <f t="shared" si="35"/>
        <v>447.50160000000005</v>
      </c>
      <c r="G154" s="83">
        <f t="shared" si="25"/>
        <v>53700.19200000001</v>
      </c>
      <c r="H154" s="483">
        <f t="shared" si="26"/>
        <v>0</v>
      </c>
      <c r="I154" s="83">
        <f>+'Costo adq'!C143*$I$1</f>
        <v>1080.7791999999999</v>
      </c>
      <c r="J154" s="83">
        <f t="shared" si="27"/>
        <v>129693.50399999999</v>
      </c>
      <c r="L154" s="54">
        <f>VLOOKUP(A154,'Precios oferta'!$A$30:$U$436,$B$5,FALSE)</f>
        <v>1520.0848000000001</v>
      </c>
      <c r="M154" s="48">
        <f>VLOOKUP(A154,'Precios piso'!$A$30:$U$436,$B$5,FALSE)</f>
        <v>596.66880000000003</v>
      </c>
      <c r="N154" s="105">
        <f t="shared" si="28"/>
        <v>0.60747663551401865</v>
      </c>
      <c r="O154" s="131">
        <f t="shared" si="23"/>
        <v>525.06854399999997</v>
      </c>
      <c r="P154" s="388">
        <f t="shared" si="29"/>
        <v>0.65457943925233653</v>
      </c>
      <c r="Q154" s="131">
        <f t="shared" si="30"/>
        <v>477.33504000000005</v>
      </c>
      <c r="R154" s="105">
        <f t="shared" si="31"/>
        <v>0.68598130841121496</v>
      </c>
      <c r="S154" s="131">
        <f t="shared" si="32"/>
        <v>447.50160000000005</v>
      </c>
      <c r="T154" s="94">
        <f t="shared" si="33"/>
        <v>0.70560747663551404</v>
      </c>
      <c r="V154" s="82"/>
      <c r="W154" s="504">
        <v>106</v>
      </c>
      <c r="X154" s="506" t="s">
        <v>759</v>
      </c>
      <c r="Y154" s="508">
        <v>30</v>
      </c>
      <c r="Z154" s="403">
        <v>0</v>
      </c>
      <c r="AA154" s="407">
        <f t="shared" si="34"/>
        <v>0.70560747663551404</v>
      </c>
      <c r="AB154" s="411"/>
      <c r="AC154" s="446"/>
    </row>
    <row r="155" spans="1:29">
      <c r="A155" s="67">
        <v>107</v>
      </c>
      <c r="B155" s="74" t="s">
        <v>126</v>
      </c>
      <c r="C155" s="125" t="s">
        <v>365</v>
      </c>
      <c r="D155" s="387">
        <f t="shared" si="24"/>
        <v>30</v>
      </c>
      <c r="E155" s="104">
        <f t="shared" si="22"/>
        <v>4</v>
      </c>
      <c r="F155" s="83">
        <f t="shared" si="35"/>
        <v>520.44600000000003</v>
      </c>
      <c r="G155" s="83">
        <f t="shared" si="25"/>
        <v>62453.520000000004</v>
      </c>
      <c r="H155" s="483">
        <f t="shared" si="26"/>
        <v>0</v>
      </c>
      <c r="I155" s="83">
        <f>+'Costo adq'!C144*$I$1</f>
        <v>1080.7791999999999</v>
      </c>
      <c r="J155" s="83">
        <f t="shared" si="27"/>
        <v>129693.50399999999</v>
      </c>
      <c r="L155" s="54">
        <f>VLOOKUP(A155,'Precios oferta'!$A$30:$U$436,$B$5,FALSE)</f>
        <v>1755.0368000000001</v>
      </c>
      <c r="M155" s="48">
        <f>VLOOKUP(A155,'Precios piso'!$A$30:$U$436,$B$5,FALSE)</f>
        <v>693.928</v>
      </c>
      <c r="N155" s="105">
        <f t="shared" si="28"/>
        <v>0.60460772104607718</v>
      </c>
      <c r="O155" s="131">
        <f t="shared" si="23"/>
        <v>610.65664000000004</v>
      </c>
      <c r="P155" s="388">
        <f t="shared" si="29"/>
        <v>0.65205479452054793</v>
      </c>
      <c r="Q155" s="131">
        <f t="shared" si="30"/>
        <v>555.14239999999995</v>
      </c>
      <c r="R155" s="105">
        <f t="shared" si="31"/>
        <v>0.68368617683686184</v>
      </c>
      <c r="S155" s="131">
        <f t="shared" si="32"/>
        <v>520.44600000000003</v>
      </c>
      <c r="T155" s="94">
        <f t="shared" si="33"/>
        <v>0.70345579078455789</v>
      </c>
      <c r="V155" s="82"/>
      <c r="W155" s="504">
        <v>107</v>
      </c>
      <c r="X155" s="506" t="s">
        <v>760</v>
      </c>
      <c r="Y155" s="508">
        <v>30</v>
      </c>
      <c r="Z155" s="403">
        <v>0</v>
      </c>
      <c r="AA155" s="407">
        <f t="shared" si="34"/>
        <v>0.70345579078455789</v>
      </c>
      <c r="AB155" s="411"/>
      <c r="AC155" s="446"/>
    </row>
    <row r="156" spans="1:29">
      <c r="A156" s="67">
        <v>108</v>
      </c>
      <c r="B156" s="74" t="s">
        <v>127</v>
      </c>
      <c r="C156" s="125" t="s">
        <v>365</v>
      </c>
      <c r="D156" s="387">
        <f t="shared" si="24"/>
        <v>30</v>
      </c>
      <c r="E156" s="104">
        <f t="shared" si="22"/>
        <v>4</v>
      </c>
      <c r="F156" s="83">
        <f t="shared" si="35"/>
        <v>542.5752</v>
      </c>
      <c r="G156" s="83">
        <f t="shared" si="25"/>
        <v>65109.023999999998</v>
      </c>
      <c r="H156" s="483">
        <f t="shared" si="26"/>
        <v>0</v>
      </c>
      <c r="I156" s="83">
        <f>+'Costo adq'!C145*$I$1</f>
        <v>1080.7791999999999</v>
      </c>
      <c r="J156" s="83">
        <f t="shared" si="27"/>
        <v>129693.50399999999</v>
      </c>
      <c r="L156" s="54">
        <f>VLOOKUP(A156,'Precios oferta'!$A$30:$U$436,$B$5,FALSE)</f>
        <v>1755.0368000000001</v>
      </c>
      <c r="M156" s="48">
        <f>VLOOKUP(A156,'Precios piso'!$A$30:$U$436,$B$5,FALSE)</f>
        <v>723.43359999999996</v>
      </c>
      <c r="N156" s="105">
        <f t="shared" si="28"/>
        <v>0.58779576587795768</v>
      </c>
      <c r="O156" s="131">
        <f t="shared" si="23"/>
        <v>636.62156800000002</v>
      </c>
      <c r="P156" s="388">
        <f t="shared" si="29"/>
        <v>0.63726027397260276</v>
      </c>
      <c r="Q156" s="131">
        <f t="shared" si="30"/>
        <v>578.74687999999992</v>
      </c>
      <c r="R156" s="105">
        <f t="shared" si="31"/>
        <v>0.67023661270236623</v>
      </c>
      <c r="S156" s="131">
        <f t="shared" si="32"/>
        <v>542.5752</v>
      </c>
      <c r="T156" s="94">
        <f t="shared" si="33"/>
        <v>0.69084682440846823</v>
      </c>
      <c r="V156" s="82"/>
      <c r="W156" s="504">
        <v>108</v>
      </c>
      <c r="X156" s="506" t="s">
        <v>761</v>
      </c>
      <c r="Y156" s="508">
        <v>30</v>
      </c>
      <c r="Z156" s="403">
        <v>0</v>
      </c>
      <c r="AA156" s="407">
        <f t="shared" si="34"/>
        <v>0.69084682440846823</v>
      </c>
      <c r="AB156" s="411"/>
      <c r="AC156" s="446"/>
    </row>
    <row r="157" spans="1:29">
      <c r="A157" s="67">
        <v>109</v>
      </c>
      <c r="B157" s="74" t="s">
        <v>128</v>
      </c>
      <c r="C157" s="125" t="s">
        <v>365</v>
      </c>
      <c r="D157" s="387">
        <f t="shared" si="24"/>
        <v>30</v>
      </c>
      <c r="E157" s="104">
        <f t="shared" si="22"/>
        <v>4</v>
      </c>
      <c r="F157" s="83">
        <f t="shared" si="35"/>
        <v>382.75319999999999</v>
      </c>
      <c r="G157" s="83">
        <f t="shared" si="25"/>
        <v>45930.383999999998</v>
      </c>
      <c r="H157" s="483">
        <f t="shared" si="26"/>
        <v>0</v>
      </c>
      <c r="I157" s="83">
        <f>+'Costo adq'!C146*$I$1</f>
        <v>1190.0591999999999</v>
      </c>
      <c r="J157" s="83">
        <f t="shared" si="27"/>
        <v>142807.10399999999</v>
      </c>
      <c r="L157" s="54">
        <f>VLOOKUP(A157,'Precios oferta'!$A$30:$U$436,$B$5,FALSE)</f>
        <v>1792.192</v>
      </c>
      <c r="M157" s="48">
        <f>VLOOKUP(A157,'Precios piso'!$A$30:$U$436,$B$5,FALSE)</f>
        <v>510.33760000000001</v>
      </c>
      <c r="N157" s="105">
        <f t="shared" si="28"/>
        <v>0.71524390243902436</v>
      </c>
      <c r="O157" s="131">
        <f t="shared" si="23"/>
        <v>449.09708799999999</v>
      </c>
      <c r="P157" s="388">
        <f t="shared" si="29"/>
        <v>0.74941463414634146</v>
      </c>
      <c r="Q157" s="131">
        <f t="shared" si="30"/>
        <v>408.27008000000001</v>
      </c>
      <c r="R157" s="105">
        <f t="shared" si="31"/>
        <v>0.77219512195121953</v>
      </c>
      <c r="S157" s="131">
        <f t="shared" si="32"/>
        <v>382.75319999999999</v>
      </c>
      <c r="T157" s="94">
        <f t="shared" si="33"/>
        <v>0.78643292682926824</v>
      </c>
      <c r="V157" s="82"/>
      <c r="W157" s="504">
        <v>109</v>
      </c>
      <c r="X157" s="506" t="s">
        <v>762</v>
      </c>
      <c r="Y157" s="508">
        <v>30</v>
      </c>
      <c r="Z157" s="403">
        <v>0</v>
      </c>
      <c r="AA157" s="407">
        <f t="shared" si="34"/>
        <v>0.78643292682926824</v>
      </c>
      <c r="AB157" s="411"/>
      <c r="AC157" s="446"/>
    </row>
    <row r="158" spans="1:29">
      <c r="A158" s="67">
        <v>110</v>
      </c>
      <c r="B158" s="74" t="s">
        <v>129</v>
      </c>
      <c r="C158" s="125" t="s">
        <v>365</v>
      </c>
      <c r="D158" s="387">
        <f t="shared" si="24"/>
        <v>0</v>
      </c>
      <c r="E158" s="104">
        <f t="shared" si="22"/>
        <v>4</v>
      </c>
      <c r="F158" s="83">
        <f t="shared" si="35"/>
        <v>589.29240000000004</v>
      </c>
      <c r="G158" s="83">
        <f t="shared" si="25"/>
        <v>0</v>
      </c>
      <c r="H158" s="483">
        <f t="shared" si="26"/>
        <v>0</v>
      </c>
      <c r="I158" s="83">
        <f>+'Costo adq'!C147*$I$1</f>
        <v>1080.7791999999999</v>
      </c>
      <c r="J158" s="83">
        <f t="shared" si="27"/>
        <v>0</v>
      </c>
      <c r="L158" s="54">
        <f>VLOOKUP(A158,'Precios oferta'!$A$30:$U$436,$B$5,FALSE)</f>
        <v>1755.0368000000001</v>
      </c>
      <c r="M158" s="48">
        <f>VLOOKUP(A158,'Precios piso'!$A$30:$U$436,$B$5,FALSE)</f>
        <v>785.72320000000002</v>
      </c>
      <c r="N158" s="105">
        <f t="shared" si="28"/>
        <v>0.55230386052303859</v>
      </c>
      <c r="O158" s="131">
        <f t="shared" si="23"/>
        <v>691.43641600000001</v>
      </c>
      <c r="P158" s="388">
        <f t="shared" si="29"/>
        <v>0.60602739726027399</v>
      </c>
      <c r="Q158" s="131">
        <f t="shared" si="30"/>
        <v>628.57856000000004</v>
      </c>
      <c r="R158" s="105">
        <f t="shared" si="31"/>
        <v>0.64184308841843096</v>
      </c>
      <c r="S158" s="131">
        <f t="shared" si="32"/>
        <v>589.29240000000004</v>
      </c>
      <c r="T158" s="94">
        <f t="shared" si="33"/>
        <v>0.66422789539227889</v>
      </c>
      <c r="V158" s="82"/>
      <c r="W158" s="504">
        <v>110</v>
      </c>
      <c r="X158" s="506" t="s">
        <v>763</v>
      </c>
      <c r="Y158" s="508">
        <v>0</v>
      </c>
      <c r="Z158" s="403">
        <v>0</v>
      </c>
      <c r="AA158" s="407">
        <f t="shared" si="34"/>
        <v>0.66422789539227889</v>
      </c>
      <c r="AB158" s="411"/>
      <c r="AC158" s="446"/>
    </row>
    <row r="159" spans="1:29">
      <c r="A159" s="67">
        <v>111</v>
      </c>
      <c r="B159" s="74" t="s">
        <v>130</v>
      </c>
      <c r="C159" s="125" t="s">
        <v>365</v>
      </c>
      <c r="D159" s="387">
        <f t="shared" si="24"/>
        <v>0</v>
      </c>
      <c r="E159" s="104">
        <f t="shared" si="22"/>
        <v>4</v>
      </c>
      <c r="F159" s="83">
        <f t="shared" si="35"/>
        <v>589.29240000000004</v>
      </c>
      <c r="G159" s="83">
        <f t="shared" si="25"/>
        <v>0</v>
      </c>
      <c r="H159" s="483">
        <f t="shared" si="26"/>
        <v>0</v>
      </c>
      <c r="I159" s="83">
        <f>+'Costo adq'!C148*$I$1</f>
        <v>1080.7791999999999</v>
      </c>
      <c r="J159" s="83">
        <f t="shared" si="27"/>
        <v>0</v>
      </c>
      <c r="L159" s="54">
        <f>VLOOKUP(A159,'Precios oferta'!$A$30:$U$436,$B$5,FALSE)</f>
        <v>1755.0368000000001</v>
      </c>
      <c r="M159" s="48">
        <f>VLOOKUP(A159,'Precios piso'!$A$30:$U$436,$B$5,FALSE)</f>
        <v>785.72320000000002</v>
      </c>
      <c r="N159" s="105">
        <f t="shared" si="28"/>
        <v>0.55230386052303859</v>
      </c>
      <c r="O159" s="131">
        <f t="shared" si="23"/>
        <v>691.43641600000001</v>
      </c>
      <c r="P159" s="388">
        <f t="shared" si="29"/>
        <v>0.60602739726027399</v>
      </c>
      <c r="Q159" s="131">
        <f t="shared" si="30"/>
        <v>628.57856000000004</v>
      </c>
      <c r="R159" s="105">
        <f t="shared" si="31"/>
        <v>0.64184308841843096</v>
      </c>
      <c r="S159" s="131">
        <f t="shared" si="32"/>
        <v>589.29240000000004</v>
      </c>
      <c r="T159" s="94">
        <f t="shared" si="33"/>
        <v>0.66422789539227889</v>
      </c>
      <c r="V159" s="82"/>
      <c r="W159" s="504">
        <v>111</v>
      </c>
      <c r="X159" s="506" t="s">
        <v>764</v>
      </c>
      <c r="Y159" s="508">
        <v>0</v>
      </c>
      <c r="Z159" s="403">
        <v>0</v>
      </c>
      <c r="AA159" s="407">
        <f t="shared" si="34"/>
        <v>0.66422789539227889</v>
      </c>
      <c r="AB159" s="411"/>
      <c r="AC159" s="446"/>
    </row>
    <row r="160" spans="1:29">
      <c r="A160" s="67">
        <v>112</v>
      </c>
      <c r="B160" s="74" t="s">
        <v>131</v>
      </c>
      <c r="C160" s="125" t="s">
        <v>365</v>
      </c>
      <c r="D160" s="387">
        <f t="shared" si="24"/>
        <v>41</v>
      </c>
      <c r="E160" s="104">
        <f t="shared" si="22"/>
        <v>4</v>
      </c>
      <c r="F160" s="83">
        <f t="shared" si="35"/>
        <v>1001.5511999999999</v>
      </c>
      <c r="G160" s="83">
        <f t="shared" si="25"/>
        <v>164254.39679999999</v>
      </c>
      <c r="H160" s="483">
        <f t="shared" si="26"/>
        <v>0</v>
      </c>
      <c r="I160" s="83">
        <f>+'Costo adq'!C149*$I$1</f>
        <v>2095.9904000000001</v>
      </c>
      <c r="J160" s="83">
        <f t="shared" si="27"/>
        <v>343742.42560000002</v>
      </c>
      <c r="L160" s="54">
        <f>VLOOKUP(A160,'Precios oferta'!$A$30:$U$436,$B$5,FALSE)</f>
        <v>3127.5936000000002</v>
      </c>
      <c r="M160" s="48">
        <f>VLOOKUP(A160,'Precios piso'!$A$30:$U$436,$B$5,FALSE)</f>
        <v>1335.4015999999999</v>
      </c>
      <c r="N160" s="105">
        <f t="shared" si="28"/>
        <v>0.573025856044724</v>
      </c>
      <c r="O160" s="131">
        <f t="shared" si="23"/>
        <v>1175.1534079999999</v>
      </c>
      <c r="P160" s="388">
        <f t="shared" si="29"/>
        <v>0.62426275331935721</v>
      </c>
      <c r="Q160" s="131">
        <f t="shared" si="30"/>
        <v>1068.3212799999999</v>
      </c>
      <c r="R160" s="105">
        <f t="shared" si="31"/>
        <v>0.6584206848357792</v>
      </c>
      <c r="S160" s="131">
        <f t="shared" si="32"/>
        <v>1001.5511999999999</v>
      </c>
      <c r="T160" s="94">
        <f t="shared" si="33"/>
        <v>0.67976939203354303</v>
      </c>
      <c r="V160" s="82"/>
      <c r="W160" s="504">
        <v>112</v>
      </c>
      <c r="X160" s="506" t="s">
        <v>765</v>
      </c>
      <c r="Y160" s="508">
        <v>41</v>
      </c>
      <c r="Z160" s="403">
        <v>0</v>
      </c>
      <c r="AA160" s="407">
        <f t="shared" si="34"/>
        <v>0.67976939203354303</v>
      </c>
      <c r="AB160" s="411"/>
      <c r="AC160" s="446"/>
    </row>
    <row r="161" spans="1:29">
      <c r="A161" s="67">
        <v>113</v>
      </c>
      <c r="B161" s="74" t="s">
        <v>132</v>
      </c>
      <c r="C161" s="125" t="s">
        <v>365</v>
      </c>
      <c r="D161" s="387">
        <f t="shared" si="24"/>
        <v>41</v>
      </c>
      <c r="E161" s="104">
        <f t="shared" si="22"/>
        <v>4</v>
      </c>
      <c r="F161" s="83">
        <f t="shared" si="35"/>
        <v>1062.2016000000001</v>
      </c>
      <c r="G161" s="83">
        <f t="shared" si="25"/>
        <v>174201.06240000002</v>
      </c>
      <c r="H161" s="483">
        <f t="shared" si="26"/>
        <v>0</v>
      </c>
      <c r="I161" s="83">
        <f>+'Costo adq'!C150*$I$1</f>
        <v>2095.9904000000001</v>
      </c>
      <c r="J161" s="83">
        <f t="shared" si="27"/>
        <v>343742.42560000002</v>
      </c>
      <c r="L161" s="54">
        <f>VLOOKUP(A161,'Precios oferta'!$A$30:$U$436,$B$5,FALSE)</f>
        <v>3621.5392000000002</v>
      </c>
      <c r="M161" s="48">
        <f>VLOOKUP(A161,'Precios piso'!$A$30:$U$436,$B$5,FALSE)</f>
        <v>1416.2688000000001</v>
      </c>
      <c r="N161" s="105">
        <f t="shared" si="28"/>
        <v>0.60893180446590223</v>
      </c>
      <c r="O161" s="131">
        <f t="shared" si="23"/>
        <v>1246.316544</v>
      </c>
      <c r="P161" s="388">
        <f t="shared" si="29"/>
        <v>0.655859987929994</v>
      </c>
      <c r="Q161" s="131">
        <f t="shared" si="30"/>
        <v>1133.01504</v>
      </c>
      <c r="R161" s="105">
        <f t="shared" si="31"/>
        <v>0.68714544357272178</v>
      </c>
      <c r="S161" s="131">
        <f t="shared" si="32"/>
        <v>1062.2016000000001</v>
      </c>
      <c r="T161" s="94">
        <f t="shared" si="33"/>
        <v>0.70669885334942673</v>
      </c>
      <c r="V161" s="82"/>
      <c r="W161" s="504">
        <v>113</v>
      </c>
      <c r="X161" s="506" t="s">
        <v>766</v>
      </c>
      <c r="Y161" s="508">
        <v>41</v>
      </c>
      <c r="Z161" s="403">
        <v>0</v>
      </c>
      <c r="AA161" s="407">
        <f t="shared" si="34"/>
        <v>0.70669885334942673</v>
      </c>
      <c r="AB161" s="411"/>
      <c r="AC161" s="446"/>
    </row>
    <row r="162" spans="1:29">
      <c r="A162" s="67">
        <v>114</v>
      </c>
      <c r="B162" s="74" t="s">
        <v>133</v>
      </c>
      <c r="C162" s="125" t="s">
        <v>365</v>
      </c>
      <c r="D162" s="387">
        <f t="shared" si="24"/>
        <v>41</v>
      </c>
      <c r="E162" s="104">
        <f t="shared" si="22"/>
        <v>4</v>
      </c>
      <c r="F162" s="83">
        <f t="shared" si="35"/>
        <v>1062.2016000000001</v>
      </c>
      <c r="G162" s="83">
        <f t="shared" si="25"/>
        <v>174201.06240000002</v>
      </c>
      <c r="H162" s="483">
        <f t="shared" si="26"/>
        <v>0</v>
      </c>
      <c r="I162" s="83">
        <f>+'Costo adq'!C151*$I$1</f>
        <v>2095.9904000000001</v>
      </c>
      <c r="J162" s="83">
        <f t="shared" si="27"/>
        <v>343742.42560000002</v>
      </c>
      <c r="L162" s="54">
        <f>VLOOKUP(A162,'Precios oferta'!$A$30:$U$436,$B$5,FALSE)</f>
        <v>4141.7119999999995</v>
      </c>
      <c r="M162" s="48">
        <f>VLOOKUP(A162,'Precios piso'!$A$30:$U$436,$B$5,FALSE)</f>
        <v>1416.2688000000001</v>
      </c>
      <c r="N162" s="105">
        <f t="shared" si="28"/>
        <v>0.65804749340369395</v>
      </c>
      <c r="O162" s="131">
        <f t="shared" si="23"/>
        <v>1246.316544</v>
      </c>
      <c r="P162" s="388">
        <f t="shared" si="29"/>
        <v>0.69908179419525063</v>
      </c>
      <c r="Q162" s="131">
        <f t="shared" si="30"/>
        <v>1133.01504</v>
      </c>
      <c r="R162" s="105">
        <f t="shared" si="31"/>
        <v>0.72643799472295512</v>
      </c>
      <c r="S162" s="131">
        <f t="shared" si="32"/>
        <v>1062.2016000000001</v>
      </c>
      <c r="T162" s="94">
        <f t="shared" si="33"/>
        <v>0.74353562005277041</v>
      </c>
      <c r="V162" s="82"/>
      <c r="W162" s="504">
        <v>114</v>
      </c>
      <c r="X162" s="506" t="s">
        <v>767</v>
      </c>
      <c r="Y162" s="508">
        <v>41</v>
      </c>
      <c r="Z162" s="403">
        <v>0</v>
      </c>
      <c r="AA162" s="407">
        <f t="shared" si="34"/>
        <v>0.74353562005277041</v>
      </c>
      <c r="AB162" s="411"/>
      <c r="AC162" s="446"/>
    </row>
    <row r="163" spans="1:29">
      <c r="A163" s="67">
        <v>115</v>
      </c>
      <c r="B163" s="74" t="s">
        <v>134</v>
      </c>
      <c r="C163" s="125" t="s">
        <v>365</v>
      </c>
      <c r="D163" s="387">
        <f t="shared" si="24"/>
        <v>39</v>
      </c>
      <c r="E163" s="104">
        <f t="shared" si="22"/>
        <v>4</v>
      </c>
      <c r="F163" s="83">
        <f t="shared" si="35"/>
        <v>1062.2016000000001</v>
      </c>
      <c r="G163" s="83">
        <f t="shared" si="25"/>
        <v>165703.44960000002</v>
      </c>
      <c r="H163" s="483">
        <f t="shared" si="26"/>
        <v>0</v>
      </c>
      <c r="I163" s="83">
        <f>+'Costo adq'!C152*$I$1</f>
        <v>2304.7152000000001</v>
      </c>
      <c r="J163" s="83">
        <f t="shared" si="27"/>
        <v>359535.57120000001</v>
      </c>
      <c r="L163" s="54">
        <f>VLOOKUP(A163,'Precios oferta'!$A$30:$U$436,$B$5,FALSE)</f>
        <v>4449.8815999999997</v>
      </c>
      <c r="M163" s="48">
        <f>VLOOKUP(A163,'Precios piso'!$A$30:$U$436,$B$5,FALSE)</f>
        <v>1416.2688000000001</v>
      </c>
      <c r="N163" s="105">
        <f t="shared" si="28"/>
        <v>0.68172888015717081</v>
      </c>
      <c r="O163" s="131">
        <f t="shared" si="23"/>
        <v>1246.316544</v>
      </c>
      <c r="P163" s="388">
        <f t="shared" si="29"/>
        <v>0.71992141453831038</v>
      </c>
      <c r="Q163" s="131">
        <f t="shared" si="30"/>
        <v>1133.01504</v>
      </c>
      <c r="R163" s="105">
        <f t="shared" si="31"/>
        <v>0.74538310412573672</v>
      </c>
      <c r="S163" s="131">
        <f t="shared" si="32"/>
        <v>1062.2016000000001</v>
      </c>
      <c r="T163" s="94">
        <f t="shared" si="33"/>
        <v>0.76129666011787811</v>
      </c>
      <c r="V163" s="82"/>
      <c r="W163" s="504">
        <v>115</v>
      </c>
      <c r="X163" s="506" t="s">
        <v>768</v>
      </c>
      <c r="Y163" s="508">
        <v>39</v>
      </c>
      <c r="Z163" s="403">
        <v>0</v>
      </c>
      <c r="AA163" s="407">
        <f t="shared" si="34"/>
        <v>0.76129666011787811</v>
      </c>
      <c r="AB163" s="411"/>
      <c r="AC163" s="446"/>
    </row>
    <row r="164" spans="1:29">
      <c r="A164" s="67">
        <v>116</v>
      </c>
      <c r="B164" s="74" t="s">
        <v>135</v>
      </c>
      <c r="C164" s="125" t="s">
        <v>365</v>
      </c>
      <c r="D164" s="387">
        <f t="shared" si="24"/>
        <v>0</v>
      </c>
      <c r="E164" s="104">
        <f t="shared" si="22"/>
        <v>4</v>
      </c>
      <c r="F164" s="83">
        <f t="shared" si="35"/>
        <v>1062.2016000000001</v>
      </c>
      <c r="G164" s="83">
        <f t="shared" si="25"/>
        <v>0</v>
      </c>
      <c r="H164" s="483">
        <f t="shared" si="26"/>
        <v>0</v>
      </c>
      <c r="I164" s="83">
        <f>+'Costo adq'!C153*$I$1</f>
        <v>2095.9904000000001</v>
      </c>
      <c r="J164" s="83">
        <f t="shared" si="27"/>
        <v>0</v>
      </c>
      <c r="L164" s="54">
        <f>VLOOKUP(A164,'Precios oferta'!$A$30:$U$436,$B$5,FALSE)</f>
        <v>4351.5295999999998</v>
      </c>
      <c r="M164" s="48">
        <f>VLOOKUP(A164,'Precios piso'!$A$30:$U$436,$B$5,FALSE)</f>
        <v>1416.2688000000001</v>
      </c>
      <c r="N164" s="105">
        <f t="shared" si="28"/>
        <v>0.67453540934203915</v>
      </c>
      <c r="O164" s="131">
        <f t="shared" si="23"/>
        <v>1246.316544</v>
      </c>
      <c r="P164" s="388">
        <f t="shared" si="29"/>
        <v>0.71359116022099445</v>
      </c>
      <c r="Q164" s="131">
        <f t="shared" si="30"/>
        <v>1133.01504</v>
      </c>
      <c r="R164" s="105">
        <f t="shared" si="31"/>
        <v>0.73962832747363128</v>
      </c>
      <c r="S164" s="131">
        <f t="shared" si="32"/>
        <v>1062.2016000000001</v>
      </c>
      <c r="T164" s="94">
        <f t="shared" si="33"/>
        <v>0.75590155700652939</v>
      </c>
      <c r="V164" s="82"/>
      <c r="W164" s="504">
        <v>116</v>
      </c>
      <c r="X164" s="506" t="s">
        <v>769</v>
      </c>
      <c r="Y164" s="508">
        <v>0</v>
      </c>
      <c r="Z164" s="403">
        <v>0</v>
      </c>
      <c r="AA164" s="407">
        <f t="shared" si="34"/>
        <v>0.75590155700652939</v>
      </c>
      <c r="AB164" s="411"/>
      <c r="AC164" s="446"/>
    </row>
    <row r="165" spans="1:29">
      <c r="A165" s="67">
        <v>117</v>
      </c>
      <c r="B165" s="74" t="s">
        <v>136</v>
      </c>
      <c r="C165" s="125" t="s">
        <v>365</v>
      </c>
      <c r="D165" s="387">
        <f t="shared" si="24"/>
        <v>0</v>
      </c>
      <c r="E165" s="104">
        <f t="shared" si="22"/>
        <v>4</v>
      </c>
      <c r="F165" s="83">
        <f t="shared" si="35"/>
        <v>1062.2016000000001</v>
      </c>
      <c r="G165" s="83">
        <f t="shared" si="25"/>
        <v>0</v>
      </c>
      <c r="H165" s="483">
        <f t="shared" si="26"/>
        <v>0</v>
      </c>
      <c r="I165" s="83">
        <f>+'Costo adq'!C154*$I$1</f>
        <v>2095.9904000000001</v>
      </c>
      <c r="J165" s="83">
        <f t="shared" si="27"/>
        <v>0</v>
      </c>
      <c r="L165" s="54">
        <f>VLOOKUP(A165,'Precios oferta'!$A$30:$U$436,$B$5,FALSE)</f>
        <v>4177.7744000000002</v>
      </c>
      <c r="M165" s="48">
        <f>VLOOKUP(A165,'Precios piso'!$A$30:$U$436,$B$5,FALSE)</f>
        <v>1416.2688000000001</v>
      </c>
      <c r="N165" s="105">
        <f t="shared" si="28"/>
        <v>0.66099921527596128</v>
      </c>
      <c r="O165" s="131">
        <f t="shared" si="23"/>
        <v>1246.316544</v>
      </c>
      <c r="P165" s="388">
        <f t="shared" si="29"/>
        <v>0.70167930944284596</v>
      </c>
      <c r="Q165" s="131">
        <f t="shared" si="30"/>
        <v>1133.01504</v>
      </c>
      <c r="R165" s="105">
        <f t="shared" si="31"/>
        <v>0.72879937222076907</v>
      </c>
      <c r="S165" s="131">
        <f t="shared" si="32"/>
        <v>1062.2016000000001</v>
      </c>
      <c r="T165" s="94">
        <f t="shared" si="33"/>
        <v>0.74574941145697093</v>
      </c>
      <c r="V165" s="82"/>
      <c r="W165" s="504">
        <v>117</v>
      </c>
      <c r="X165" s="506" t="s">
        <v>770</v>
      </c>
      <c r="Y165" s="508">
        <v>0</v>
      </c>
      <c r="Z165" s="403">
        <v>0</v>
      </c>
      <c r="AA165" s="407">
        <f t="shared" si="34"/>
        <v>0.74574941145697093</v>
      </c>
      <c r="AB165" s="411"/>
      <c r="AC165" s="446"/>
    </row>
    <row r="166" spans="1:29">
      <c r="A166" s="67">
        <v>118</v>
      </c>
      <c r="B166" s="74" t="s">
        <v>137</v>
      </c>
      <c r="C166" s="125" t="s">
        <v>365</v>
      </c>
      <c r="D166" s="387">
        <f t="shared" si="24"/>
        <v>50</v>
      </c>
      <c r="E166" s="104">
        <f t="shared" si="22"/>
        <v>4</v>
      </c>
      <c r="F166" s="83">
        <f t="shared" si="35"/>
        <v>1425.2844</v>
      </c>
      <c r="G166" s="83">
        <f t="shared" si="25"/>
        <v>285056.88</v>
      </c>
      <c r="H166" s="483">
        <f t="shared" si="26"/>
        <v>0</v>
      </c>
      <c r="I166" s="83">
        <f>+'Costo adq'!C155*$I$1</f>
        <v>4335.1376</v>
      </c>
      <c r="J166" s="83">
        <f t="shared" si="27"/>
        <v>867027.52</v>
      </c>
      <c r="L166" s="54">
        <f>VLOOKUP(A166,'Precios oferta'!$A$30:$U$436,$B$5,FALSE)</f>
        <v>4697.9471999999996</v>
      </c>
      <c r="M166" s="48">
        <f>VLOOKUP(A166,'Precios piso'!$A$30:$U$436,$B$5,FALSE)</f>
        <v>1900.3792000000001</v>
      </c>
      <c r="N166" s="105">
        <f t="shared" si="28"/>
        <v>0.5954873226331705</v>
      </c>
      <c r="O166" s="131">
        <f t="shared" si="23"/>
        <v>1672.3336960000001</v>
      </c>
      <c r="P166" s="388">
        <f t="shared" si="29"/>
        <v>0.64402884391718995</v>
      </c>
      <c r="Q166" s="131">
        <f t="shared" si="30"/>
        <v>1520.3033600000001</v>
      </c>
      <c r="R166" s="105">
        <f t="shared" si="31"/>
        <v>0.6763898581065364</v>
      </c>
      <c r="S166" s="131">
        <f t="shared" si="32"/>
        <v>1425.2844</v>
      </c>
      <c r="T166" s="94">
        <f t="shared" si="33"/>
        <v>0.69661549197487793</v>
      </c>
      <c r="V166" s="82"/>
      <c r="W166" s="504">
        <v>118</v>
      </c>
      <c r="X166" s="506" t="s">
        <v>771</v>
      </c>
      <c r="Y166" s="508">
        <v>50</v>
      </c>
      <c r="Z166" s="403">
        <v>0</v>
      </c>
      <c r="AA166" s="407">
        <f t="shared" si="34"/>
        <v>0.69661549197487793</v>
      </c>
      <c r="AB166" s="411"/>
      <c r="AC166" s="446"/>
    </row>
    <row r="167" spans="1:29">
      <c r="A167" s="67">
        <v>119</v>
      </c>
      <c r="B167" s="74" t="s">
        <v>138</v>
      </c>
      <c r="C167" s="125" t="s">
        <v>365</v>
      </c>
      <c r="D167" s="387">
        <f t="shared" si="24"/>
        <v>50</v>
      </c>
      <c r="E167" s="104">
        <f t="shared" si="22"/>
        <v>4</v>
      </c>
      <c r="F167" s="83">
        <f t="shared" si="35"/>
        <v>1446.5940000000001</v>
      </c>
      <c r="G167" s="83">
        <f t="shared" si="25"/>
        <v>289318.8</v>
      </c>
      <c r="H167" s="483">
        <f t="shared" si="26"/>
        <v>0</v>
      </c>
      <c r="I167" s="83">
        <f>+'Costo adq'!C156*$I$1</f>
        <v>4335.1376</v>
      </c>
      <c r="J167" s="83">
        <f t="shared" si="27"/>
        <v>867027.52</v>
      </c>
      <c r="L167" s="54">
        <f>VLOOKUP(A167,'Precios oferta'!$A$30:$U$436,$B$5,FALSE)</f>
        <v>4919.7856000000002</v>
      </c>
      <c r="M167" s="48">
        <f>VLOOKUP(A167,'Precios piso'!$A$30:$U$436,$B$5,FALSE)</f>
        <v>1928.7919999999999</v>
      </c>
      <c r="N167" s="105">
        <f t="shared" si="28"/>
        <v>0.60795202132385606</v>
      </c>
      <c r="O167" s="131">
        <f t="shared" si="23"/>
        <v>1697.3369599999999</v>
      </c>
      <c r="P167" s="388">
        <f t="shared" si="29"/>
        <v>0.65499777876499343</v>
      </c>
      <c r="Q167" s="131">
        <f t="shared" si="30"/>
        <v>1543.0336</v>
      </c>
      <c r="R167" s="105">
        <f t="shared" si="31"/>
        <v>0.68636161705908494</v>
      </c>
      <c r="S167" s="131">
        <f t="shared" si="32"/>
        <v>1446.5940000000001</v>
      </c>
      <c r="T167" s="94">
        <f t="shared" si="33"/>
        <v>0.70596401599289205</v>
      </c>
      <c r="V167" s="82"/>
      <c r="W167" s="504">
        <v>119</v>
      </c>
      <c r="X167" s="506" t="s">
        <v>772</v>
      </c>
      <c r="Y167" s="508">
        <v>50</v>
      </c>
      <c r="Z167" s="403">
        <v>0</v>
      </c>
      <c r="AA167" s="407">
        <f t="shared" si="34"/>
        <v>0.70596401599289205</v>
      </c>
      <c r="AB167" s="411"/>
      <c r="AC167" s="446"/>
    </row>
    <row r="168" spans="1:29">
      <c r="A168" s="67">
        <v>120</v>
      </c>
      <c r="B168" s="74" t="s">
        <v>139</v>
      </c>
      <c r="C168" s="125" t="s">
        <v>365</v>
      </c>
      <c r="D168" s="387">
        <f t="shared" si="24"/>
        <v>50</v>
      </c>
      <c r="E168" s="104">
        <f t="shared" si="22"/>
        <v>4</v>
      </c>
      <c r="F168" s="83">
        <f t="shared" si="35"/>
        <v>1446.5940000000001</v>
      </c>
      <c r="G168" s="83">
        <f t="shared" si="25"/>
        <v>289318.8</v>
      </c>
      <c r="H168" s="483">
        <f t="shared" si="26"/>
        <v>0</v>
      </c>
      <c r="I168" s="83">
        <f>+'Costo adq'!C157*$I$1</f>
        <v>4335.1376</v>
      </c>
      <c r="J168" s="83">
        <f t="shared" si="27"/>
        <v>867027.52</v>
      </c>
      <c r="L168" s="54">
        <f>VLOOKUP(A168,'Precios oferta'!$A$30:$U$436,$B$5,FALSE)</f>
        <v>5217.0272000000004</v>
      </c>
      <c r="M168" s="48">
        <f>VLOOKUP(A168,'Precios piso'!$A$30:$U$436,$B$5,FALSE)</f>
        <v>1928.7919999999999</v>
      </c>
      <c r="N168" s="105">
        <f t="shared" si="28"/>
        <v>0.63028906577293675</v>
      </c>
      <c r="O168" s="131">
        <f t="shared" si="23"/>
        <v>1697.3369599999999</v>
      </c>
      <c r="P168" s="388">
        <f t="shared" si="29"/>
        <v>0.67465437788018434</v>
      </c>
      <c r="Q168" s="131">
        <f t="shared" si="30"/>
        <v>1543.0336</v>
      </c>
      <c r="R168" s="105">
        <f t="shared" si="31"/>
        <v>0.7042312526183494</v>
      </c>
      <c r="S168" s="131">
        <f t="shared" si="32"/>
        <v>1446.5940000000001</v>
      </c>
      <c r="T168" s="94">
        <f t="shared" si="33"/>
        <v>0.72271679932970256</v>
      </c>
      <c r="V168" s="82"/>
      <c r="W168" s="504">
        <v>120</v>
      </c>
      <c r="X168" s="506" t="s">
        <v>773</v>
      </c>
      <c r="Y168" s="508">
        <v>50</v>
      </c>
      <c r="Z168" s="403">
        <v>0</v>
      </c>
      <c r="AA168" s="407">
        <f t="shared" si="34"/>
        <v>0.72271679932970256</v>
      </c>
      <c r="AB168" s="411"/>
      <c r="AC168" s="446"/>
    </row>
    <row r="169" spans="1:29">
      <c r="A169" s="67">
        <v>121</v>
      </c>
      <c r="B169" s="74" t="s">
        <v>140</v>
      </c>
      <c r="C169" s="125" t="s">
        <v>365</v>
      </c>
      <c r="D169" s="387">
        <f t="shared" si="24"/>
        <v>47</v>
      </c>
      <c r="E169" s="104">
        <f t="shared" si="22"/>
        <v>4</v>
      </c>
      <c r="F169" s="83">
        <f t="shared" si="35"/>
        <v>1191.6984</v>
      </c>
      <c r="G169" s="83">
        <f t="shared" si="25"/>
        <v>224039.29920000001</v>
      </c>
      <c r="H169" s="483">
        <f t="shared" si="26"/>
        <v>0</v>
      </c>
      <c r="I169" s="83">
        <f>+'Costo adq'!C158*$I$1</f>
        <v>4751.4943999999996</v>
      </c>
      <c r="J169" s="83">
        <f t="shared" si="27"/>
        <v>893280.94719999994</v>
      </c>
      <c r="L169" s="54">
        <f>VLOOKUP(A169,'Precios oferta'!$A$30:$U$436,$B$5,FALSE)</f>
        <v>6008.2143999999998</v>
      </c>
      <c r="M169" s="48">
        <f>VLOOKUP(A169,'Precios piso'!$A$30:$U$436,$B$5,FALSE)</f>
        <v>1588.9312</v>
      </c>
      <c r="N169" s="105">
        <f t="shared" si="28"/>
        <v>0.73554019643506729</v>
      </c>
      <c r="O169" s="131">
        <f t="shared" si="23"/>
        <v>1398.259456</v>
      </c>
      <c r="P169" s="388">
        <f t="shared" si="29"/>
        <v>0.76727537286285918</v>
      </c>
      <c r="Q169" s="131">
        <f t="shared" si="30"/>
        <v>1271.1449600000001</v>
      </c>
      <c r="R169" s="105">
        <f t="shared" si="31"/>
        <v>0.78843215714805381</v>
      </c>
      <c r="S169" s="131">
        <f t="shared" si="32"/>
        <v>1191.6984</v>
      </c>
      <c r="T169" s="94">
        <f t="shared" si="33"/>
        <v>0.8016551473263005</v>
      </c>
      <c r="V169" s="82"/>
      <c r="W169" s="504">
        <v>121</v>
      </c>
      <c r="X169" s="506" t="s">
        <v>774</v>
      </c>
      <c r="Y169" s="508">
        <v>47</v>
      </c>
      <c r="Z169" s="403">
        <v>0</v>
      </c>
      <c r="AA169" s="407">
        <f t="shared" si="34"/>
        <v>0.8016551473263005</v>
      </c>
      <c r="AB169" s="411"/>
      <c r="AC169" s="446"/>
    </row>
    <row r="170" spans="1:29">
      <c r="A170" s="67">
        <v>122</v>
      </c>
      <c r="B170" s="74" t="s">
        <v>141</v>
      </c>
      <c r="C170" s="125" t="s">
        <v>365</v>
      </c>
      <c r="D170" s="387">
        <f t="shared" si="24"/>
        <v>0</v>
      </c>
      <c r="E170" s="104">
        <f t="shared" si="22"/>
        <v>4</v>
      </c>
      <c r="F170" s="83">
        <f t="shared" si="35"/>
        <v>1446.5940000000001</v>
      </c>
      <c r="G170" s="83">
        <f t="shared" si="25"/>
        <v>0</v>
      </c>
      <c r="H170" s="483">
        <f t="shared" si="26"/>
        <v>0</v>
      </c>
      <c r="I170" s="83">
        <f>+'Costo adq'!C159*$I$1</f>
        <v>4335.1376</v>
      </c>
      <c r="J170" s="83">
        <f t="shared" si="27"/>
        <v>0</v>
      </c>
      <c r="L170" s="54">
        <f>VLOOKUP(A170,'Precios oferta'!$A$30:$U$436,$B$5,FALSE)</f>
        <v>5266.2031999999999</v>
      </c>
      <c r="M170" s="48">
        <f>VLOOKUP(A170,'Precios piso'!$A$30:$U$436,$B$5,FALSE)</f>
        <v>1928.7919999999999</v>
      </c>
      <c r="N170" s="105">
        <f t="shared" si="28"/>
        <v>0.63374144013280764</v>
      </c>
      <c r="O170" s="131">
        <f t="shared" si="23"/>
        <v>1697.3369599999999</v>
      </c>
      <c r="P170" s="388">
        <f t="shared" si="29"/>
        <v>0.67769246731687072</v>
      </c>
      <c r="Q170" s="131">
        <f t="shared" si="30"/>
        <v>1543.0336</v>
      </c>
      <c r="R170" s="105">
        <f t="shared" si="31"/>
        <v>0.70699315210624614</v>
      </c>
      <c r="S170" s="131">
        <f t="shared" si="32"/>
        <v>1446.5940000000001</v>
      </c>
      <c r="T170" s="94">
        <f t="shared" si="33"/>
        <v>0.72530608009960573</v>
      </c>
      <c r="V170" s="82"/>
      <c r="W170" s="504">
        <v>122</v>
      </c>
      <c r="X170" s="506" t="s">
        <v>775</v>
      </c>
      <c r="Y170" s="508">
        <v>0</v>
      </c>
      <c r="Z170" s="403">
        <v>0</v>
      </c>
      <c r="AA170" s="407">
        <f t="shared" si="34"/>
        <v>0.72530608009960573</v>
      </c>
      <c r="AB170" s="411"/>
      <c r="AC170" s="446"/>
    </row>
    <row r="171" spans="1:29">
      <c r="A171" s="67">
        <v>123</v>
      </c>
      <c r="B171" s="74" t="s">
        <v>142</v>
      </c>
      <c r="C171" s="125" t="s">
        <v>365</v>
      </c>
      <c r="D171" s="387">
        <f t="shared" si="24"/>
        <v>0</v>
      </c>
      <c r="E171" s="104">
        <f t="shared" si="22"/>
        <v>4</v>
      </c>
      <c r="F171" s="83">
        <f t="shared" si="35"/>
        <v>1446.5940000000001</v>
      </c>
      <c r="G171" s="83">
        <f t="shared" si="25"/>
        <v>0</v>
      </c>
      <c r="H171" s="483">
        <f t="shared" si="26"/>
        <v>0</v>
      </c>
      <c r="I171" s="83">
        <f>+'Costo adq'!C160*$I$1</f>
        <v>4335.1376</v>
      </c>
      <c r="J171" s="83">
        <f t="shared" si="27"/>
        <v>0</v>
      </c>
      <c r="L171" s="54">
        <f>VLOOKUP(A171,'Precios oferta'!$A$30:$U$436,$B$5,FALSE)</f>
        <v>5291.3375999999998</v>
      </c>
      <c r="M171" s="48">
        <f>VLOOKUP(A171,'Precios piso'!$A$30:$U$436,$B$5,FALSE)</f>
        <v>1928.7919999999999</v>
      </c>
      <c r="N171" s="105">
        <f t="shared" si="28"/>
        <v>0.63548120611317638</v>
      </c>
      <c r="O171" s="131">
        <f t="shared" si="23"/>
        <v>1697.3369599999999</v>
      </c>
      <c r="P171" s="388">
        <f t="shared" si="29"/>
        <v>0.67922346137959522</v>
      </c>
      <c r="Q171" s="131">
        <f t="shared" si="30"/>
        <v>1543.0336</v>
      </c>
      <c r="R171" s="105">
        <f t="shared" si="31"/>
        <v>0.70838496489054115</v>
      </c>
      <c r="S171" s="131">
        <f t="shared" si="32"/>
        <v>1446.5940000000001</v>
      </c>
      <c r="T171" s="94">
        <f t="shared" si="33"/>
        <v>0.72661090458488231</v>
      </c>
      <c r="V171" s="82"/>
      <c r="W171" s="504">
        <v>123</v>
      </c>
      <c r="X171" s="506" t="s">
        <v>776</v>
      </c>
      <c r="Y171" s="508">
        <v>0</v>
      </c>
      <c r="Z171" s="403">
        <v>0</v>
      </c>
      <c r="AA171" s="407">
        <f t="shared" si="34"/>
        <v>0.72661090458488231</v>
      </c>
      <c r="AB171" s="411"/>
      <c r="AC171" s="446"/>
    </row>
    <row r="172" spans="1:29">
      <c r="A172" s="67">
        <v>124</v>
      </c>
      <c r="B172" s="74" t="s">
        <v>143</v>
      </c>
      <c r="C172" s="125" t="s">
        <v>365</v>
      </c>
      <c r="D172" s="387">
        <f t="shared" si="24"/>
        <v>32</v>
      </c>
      <c r="E172" s="104">
        <f t="shared" si="22"/>
        <v>4</v>
      </c>
      <c r="F172" s="83">
        <f t="shared" si="35"/>
        <v>1446.5940000000001</v>
      </c>
      <c r="G172" s="83">
        <f t="shared" si="25"/>
        <v>185164.03200000001</v>
      </c>
      <c r="H172" s="483">
        <f t="shared" si="26"/>
        <v>0</v>
      </c>
      <c r="I172" s="83">
        <f>+'Costo adq'!C161*$I$1</f>
        <v>5780.9120000000003</v>
      </c>
      <c r="J172" s="83">
        <f t="shared" si="27"/>
        <v>739956.73600000003</v>
      </c>
      <c r="L172" s="54">
        <f>VLOOKUP(A172,'Precios oferta'!$A$30:$U$436,$B$5,FALSE)</f>
        <v>6625.6463999999996</v>
      </c>
      <c r="M172" s="48">
        <f>VLOOKUP(A172,'Precios piso'!$A$30:$U$436,$B$5,FALSE)</f>
        <v>1928.7919999999999</v>
      </c>
      <c r="N172" s="105">
        <f t="shared" si="28"/>
        <v>0.70888998845456053</v>
      </c>
      <c r="O172" s="131">
        <f t="shared" si="23"/>
        <v>1697.3369599999999</v>
      </c>
      <c r="P172" s="388">
        <f t="shared" si="29"/>
        <v>0.74382318984001317</v>
      </c>
      <c r="Q172" s="131">
        <f t="shared" si="30"/>
        <v>1543.0336</v>
      </c>
      <c r="R172" s="105">
        <f t="shared" si="31"/>
        <v>0.76711199076364833</v>
      </c>
      <c r="S172" s="131">
        <f t="shared" si="32"/>
        <v>1446.5940000000001</v>
      </c>
      <c r="T172" s="94">
        <f t="shared" si="33"/>
        <v>0.78166749134092028</v>
      </c>
      <c r="V172" s="82"/>
      <c r="W172" s="504">
        <v>124</v>
      </c>
      <c r="X172" s="506" t="s">
        <v>777</v>
      </c>
      <c r="Y172" s="508">
        <v>32</v>
      </c>
      <c r="Z172" s="403">
        <v>0</v>
      </c>
      <c r="AA172" s="407">
        <f t="shared" si="34"/>
        <v>0.78166749134092028</v>
      </c>
      <c r="AB172" s="411"/>
      <c r="AC172" s="446"/>
    </row>
    <row r="173" spans="1:29">
      <c r="A173" s="67">
        <v>125</v>
      </c>
      <c r="B173" s="74" t="s">
        <v>144</v>
      </c>
      <c r="C173" s="125" t="s">
        <v>365</v>
      </c>
      <c r="D173" s="387">
        <f t="shared" si="24"/>
        <v>32</v>
      </c>
      <c r="E173" s="104">
        <f t="shared" si="22"/>
        <v>4</v>
      </c>
      <c r="F173" s="83">
        <f t="shared" si="35"/>
        <v>2291.6016</v>
      </c>
      <c r="G173" s="83">
        <f t="shared" si="25"/>
        <v>293325.0048</v>
      </c>
      <c r="H173" s="483">
        <f t="shared" si="26"/>
        <v>0</v>
      </c>
      <c r="I173" s="83">
        <f>+'Costo adq'!C162*$I$1</f>
        <v>5780.9120000000003</v>
      </c>
      <c r="J173" s="83">
        <f t="shared" si="27"/>
        <v>739956.73600000003</v>
      </c>
      <c r="L173" s="54">
        <f>VLOOKUP(A173,'Precios oferta'!$A$30:$U$436,$B$5,FALSE)</f>
        <v>7244.1711999999998</v>
      </c>
      <c r="M173" s="48">
        <f>VLOOKUP(A173,'Precios piso'!$A$30:$U$436,$B$5,FALSE)</f>
        <v>3055.4688000000001</v>
      </c>
      <c r="N173" s="105">
        <f t="shared" si="28"/>
        <v>0.57821692562980842</v>
      </c>
      <c r="O173" s="131">
        <f t="shared" si="23"/>
        <v>2688.8125440000003</v>
      </c>
      <c r="P173" s="388">
        <f t="shared" si="29"/>
        <v>0.62883089455423136</v>
      </c>
      <c r="Q173" s="131">
        <f t="shared" si="30"/>
        <v>2444.3750399999999</v>
      </c>
      <c r="R173" s="105">
        <f t="shared" si="31"/>
        <v>0.66257354050384676</v>
      </c>
      <c r="S173" s="131">
        <f t="shared" si="32"/>
        <v>2291.6016</v>
      </c>
      <c r="T173" s="94">
        <f t="shared" si="33"/>
        <v>0.68366269422235626</v>
      </c>
      <c r="V173" s="82"/>
      <c r="W173" s="504">
        <v>125</v>
      </c>
      <c r="X173" s="506" t="s">
        <v>778</v>
      </c>
      <c r="Y173" s="508">
        <v>32</v>
      </c>
      <c r="Z173" s="403">
        <v>0</v>
      </c>
      <c r="AA173" s="407">
        <f t="shared" si="34"/>
        <v>0.68366269422235626</v>
      </c>
      <c r="AB173" s="411"/>
      <c r="AC173" s="446"/>
    </row>
    <row r="174" spans="1:29">
      <c r="A174" s="67">
        <v>126</v>
      </c>
      <c r="B174" s="74" t="s">
        <v>145</v>
      </c>
      <c r="C174" s="125" t="s">
        <v>365</v>
      </c>
      <c r="D174" s="387">
        <f t="shared" si="24"/>
        <v>32</v>
      </c>
      <c r="E174" s="104">
        <f t="shared" si="22"/>
        <v>4</v>
      </c>
      <c r="F174" s="83">
        <f t="shared" si="35"/>
        <v>2641.5708</v>
      </c>
      <c r="G174" s="83">
        <f t="shared" si="25"/>
        <v>338121.0624</v>
      </c>
      <c r="H174" s="483">
        <f t="shared" si="26"/>
        <v>0</v>
      </c>
      <c r="I174" s="83">
        <f>+'Costo adq'!C163*$I$1</f>
        <v>5780.9120000000003</v>
      </c>
      <c r="J174" s="83">
        <f t="shared" si="27"/>
        <v>739956.73600000003</v>
      </c>
      <c r="L174" s="54">
        <f>VLOOKUP(A174,'Precios oferta'!$A$30:$U$436,$B$5,FALSE)</f>
        <v>8245.1759999999995</v>
      </c>
      <c r="M174" s="48">
        <f>VLOOKUP(A174,'Precios piso'!$A$30:$U$436,$B$5,FALSE)</f>
        <v>3522.0944</v>
      </c>
      <c r="N174" s="105">
        <f t="shared" si="28"/>
        <v>0.57282968853545391</v>
      </c>
      <c r="O174" s="131">
        <f t="shared" si="23"/>
        <v>3099.443072</v>
      </c>
      <c r="P174" s="388">
        <f t="shared" si="29"/>
        <v>0.6240901259111995</v>
      </c>
      <c r="Q174" s="131">
        <f t="shared" si="30"/>
        <v>2817.6755199999998</v>
      </c>
      <c r="R174" s="105">
        <f t="shared" si="31"/>
        <v>0.65826375082836308</v>
      </c>
      <c r="S174" s="131">
        <f t="shared" si="32"/>
        <v>2641.5708</v>
      </c>
      <c r="T174" s="94">
        <f t="shared" si="33"/>
        <v>0.67962226640159051</v>
      </c>
      <c r="V174" s="82"/>
      <c r="W174" s="504">
        <v>126</v>
      </c>
      <c r="X174" s="506" t="s">
        <v>779</v>
      </c>
      <c r="Y174" s="508">
        <v>32</v>
      </c>
      <c r="Z174" s="403">
        <v>0</v>
      </c>
      <c r="AA174" s="407">
        <f t="shared" si="34"/>
        <v>0.67962226640159051</v>
      </c>
      <c r="AB174" s="411"/>
      <c r="AC174" s="446"/>
    </row>
    <row r="175" spans="1:29">
      <c r="A175" s="67">
        <v>127</v>
      </c>
      <c r="B175" s="74" t="s">
        <v>146</v>
      </c>
      <c r="C175" s="125" t="s">
        <v>365</v>
      </c>
      <c r="D175" s="387">
        <f t="shared" si="24"/>
        <v>18</v>
      </c>
      <c r="E175" s="104">
        <f t="shared" si="22"/>
        <v>4</v>
      </c>
      <c r="F175" s="83">
        <f t="shared" si="35"/>
        <v>1748.2067999999999</v>
      </c>
      <c r="G175" s="83">
        <f t="shared" si="25"/>
        <v>125870.88959999999</v>
      </c>
      <c r="H175" s="483">
        <f t="shared" si="26"/>
        <v>0</v>
      </c>
      <c r="I175" s="83">
        <f>+'Costo adq'!C164*$I$1</f>
        <v>6336.0544</v>
      </c>
      <c r="J175" s="83">
        <f t="shared" si="27"/>
        <v>456195.91680000001</v>
      </c>
      <c r="L175" s="54">
        <f>VLOOKUP(A175,'Precios oferta'!$A$30:$U$436,$B$5,FALSE)</f>
        <v>9357.6463999999996</v>
      </c>
      <c r="M175" s="48">
        <f>VLOOKUP(A175,'Precios piso'!$A$30:$U$436,$B$5,FALSE)</f>
        <v>2330.9423999999999</v>
      </c>
      <c r="N175" s="105">
        <f t="shared" si="28"/>
        <v>0.7509050566390284</v>
      </c>
      <c r="O175" s="131">
        <f t="shared" si="23"/>
        <v>2051.2293119999999</v>
      </c>
      <c r="P175" s="388">
        <f t="shared" si="29"/>
        <v>0.78079644984234498</v>
      </c>
      <c r="Q175" s="131">
        <f t="shared" si="30"/>
        <v>1864.7539199999999</v>
      </c>
      <c r="R175" s="105">
        <f t="shared" si="31"/>
        <v>0.80072404531122277</v>
      </c>
      <c r="S175" s="131">
        <f t="shared" si="32"/>
        <v>1748.2067999999999</v>
      </c>
      <c r="T175" s="94">
        <f t="shared" si="33"/>
        <v>0.81317879247927127</v>
      </c>
      <c r="V175" s="82"/>
      <c r="W175" s="504">
        <v>127</v>
      </c>
      <c r="X175" s="506" t="s">
        <v>780</v>
      </c>
      <c r="Y175" s="508">
        <v>18</v>
      </c>
      <c r="Z175" s="403">
        <v>0</v>
      </c>
      <c r="AA175" s="407">
        <f t="shared" si="34"/>
        <v>0.81317879247927127</v>
      </c>
      <c r="AB175" s="411"/>
      <c r="AC175" s="446"/>
    </row>
    <row r="176" spans="1:29">
      <c r="A176" s="67">
        <v>128</v>
      </c>
      <c r="B176" s="74" t="s">
        <v>147</v>
      </c>
      <c r="C176" s="125" t="s">
        <v>365</v>
      </c>
      <c r="D176" s="387">
        <f t="shared" si="24"/>
        <v>0</v>
      </c>
      <c r="E176" s="104">
        <f t="shared" si="22"/>
        <v>4</v>
      </c>
      <c r="F176" s="83">
        <f t="shared" si="35"/>
        <v>2263.7352000000001</v>
      </c>
      <c r="G176" s="83">
        <f t="shared" si="25"/>
        <v>0</v>
      </c>
      <c r="H176" s="483">
        <f t="shared" si="26"/>
        <v>0</v>
      </c>
      <c r="I176" s="83">
        <f>+'Costo adq'!C165*$I$1</f>
        <v>5777.6336000000001</v>
      </c>
      <c r="J176" s="83">
        <f t="shared" si="27"/>
        <v>0</v>
      </c>
      <c r="L176" s="54">
        <f>VLOOKUP(A176,'Precios oferta'!$A$30:$U$436,$B$5,FALSE)</f>
        <v>8480.1280000000006</v>
      </c>
      <c r="M176" s="48">
        <f>VLOOKUP(A176,'Precios piso'!$A$30:$U$436,$B$5,FALSE)</f>
        <v>3018.3136</v>
      </c>
      <c r="N176" s="105">
        <f t="shared" si="28"/>
        <v>0.64407216494845365</v>
      </c>
      <c r="O176" s="131">
        <f t="shared" si="23"/>
        <v>2656.1159680000001</v>
      </c>
      <c r="P176" s="388">
        <f t="shared" si="29"/>
        <v>0.68678350515463915</v>
      </c>
      <c r="Q176" s="131">
        <f t="shared" si="30"/>
        <v>2414.6508800000001</v>
      </c>
      <c r="R176" s="105">
        <f t="shared" si="31"/>
        <v>0.71525773195876297</v>
      </c>
      <c r="S176" s="131">
        <f t="shared" si="32"/>
        <v>2263.7352000000001</v>
      </c>
      <c r="T176" s="94">
        <f t="shared" si="33"/>
        <v>0.73305412371134016</v>
      </c>
      <c r="V176" s="82"/>
      <c r="W176" s="504">
        <v>128</v>
      </c>
      <c r="X176" s="506" t="s">
        <v>781</v>
      </c>
      <c r="Y176" s="508">
        <v>0</v>
      </c>
      <c r="Z176" s="403">
        <v>0</v>
      </c>
      <c r="AA176" s="407">
        <f t="shared" si="34"/>
        <v>0.73305412371134016</v>
      </c>
      <c r="AB176" s="411"/>
      <c r="AC176" s="446"/>
    </row>
    <row r="177" spans="1:29">
      <c r="A177" s="67">
        <v>129</v>
      </c>
      <c r="B177" s="74" t="s">
        <v>148</v>
      </c>
      <c r="C177" s="125" t="s">
        <v>365</v>
      </c>
      <c r="D177" s="387">
        <f t="shared" si="24"/>
        <v>0</v>
      </c>
      <c r="E177" s="104">
        <f t="shared" ref="E177:E240" si="36">$B$6</f>
        <v>4</v>
      </c>
      <c r="F177" s="83">
        <f t="shared" si="35"/>
        <v>2037.5255999999999</v>
      </c>
      <c r="G177" s="83">
        <f t="shared" si="25"/>
        <v>0</v>
      </c>
      <c r="H177" s="483">
        <f t="shared" si="26"/>
        <v>0</v>
      </c>
      <c r="I177" s="83">
        <f>+'Costo adq'!C166*$I$1</f>
        <v>5777.6336000000001</v>
      </c>
      <c r="J177" s="83">
        <f t="shared" si="27"/>
        <v>0</v>
      </c>
      <c r="L177" s="54">
        <f>VLOOKUP(A177,'Precios oferta'!$A$30:$U$436,$B$5,FALSE)</f>
        <v>8529.3040000000001</v>
      </c>
      <c r="M177" s="48">
        <f>VLOOKUP(A177,'Precios piso'!$A$30:$U$436,$B$5,FALSE)</f>
        <v>2716.7008000000001</v>
      </c>
      <c r="N177" s="105">
        <f t="shared" si="28"/>
        <v>0.68148622677770665</v>
      </c>
      <c r="O177" s="131">
        <f t="shared" ref="O177:O240" si="37">+M177-(M177*$N$481)</f>
        <v>2390.696704</v>
      </c>
      <c r="P177" s="388">
        <f t="shared" si="29"/>
        <v>0.71970787956438187</v>
      </c>
      <c r="Q177" s="131">
        <f t="shared" si="30"/>
        <v>2173.3606399999999</v>
      </c>
      <c r="R177" s="105">
        <f t="shared" si="31"/>
        <v>0.74518898142216528</v>
      </c>
      <c r="S177" s="131">
        <f t="shared" si="32"/>
        <v>2037.5255999999999</v>
      </c>
      <c r="T177" s="94">
        <f t="shared" si="33"/>
        <v>0.76111467008327993</v>
      </c>
      <c r="V177" s="82"/>
      <c r="W177" s="504">
        <v>129</v>
      </c>
      <c r="X177" s="506" t="s">
        <v>782</v>
      </c>
      <c r="Y177" s="508">
        <v>0</v>
      </c>
      <c r="Z177" s="403">
        <v>0</v>
      </c>
      <c r="AA177" s="407">
        <f t="shared" si="34"/>
        <v>0.76111467008327993</v>
      </c>
      <c r="AB177" s="411"/>
      <c r="AC177" s="446"/>
    </row>
    <row r="178" spans="1:29">
      <c r="A178" s="67">
        <v>130</v>
      </c>
      <c r="B178" s="74" t="s">
        <v>149</v>
      </c>
      <c r="C178" s="125" t="s">
        <v>365</v>
      </c>
      <c r="D178" s="387">
        <f t="shared" ref="D178:D241" si="38">VLOOKUP(A178,$W$49:$Y$455,3,FALSE)</f>
        <v>56</v>
      </c>
      <c r="E178" s="104">
        <f t="shared" si="36"/>
        <v>4</v>
      </c>
      <c r="F178" s="83">
        <f t="shared" si="35"/>
        <v>2461.2587999999996</v>
      </c>
      <c r="G178" s="83">
        <f t="shared" ref="G178:G241" si="39">F178*E178*D178</f>
        <v>551321.97119999991</v>
      </c>
      <c r="H178" s="483">
        <f t="shared" ref="H178:H241" si="40">+F178-S178</f>
        <v>0</v>
      </c>
      <c r="I178" s="83">
        <f>+'Costo adq'!C167*$I$1</f>
        <v>4152.6400000000003</v>
      </c>
      <c r="J178" s="83">
        <f t="shared" ref="J178:J241" si="41">I178*E178*D178</f>
        <v>930191.3600000001</v>
      </c>
      <c r="L178" s="54">
        <f>VLOOKUP(A178,'Precios oferta'!$A$30:$U$436,$B$5,FALSE)</f>
        <v>6922.8879999999999</v>
      </c>
      <c r="M178" s="48">
        <f>VLOOKUP(A178,'Precios piso'!$A$30:$U$436,$B$5,FALSE)</f>
        <v>3281.6783999999998</v>
      </c>
      <c r="N178" s="105">
        <f t="shared" ref="N178:N241" si="42">1-(M178/L178)</f>
        <v>0.52596685082872929</v>
      </c>
      <c r="O178" s="131">
        <f t="shared" si="37"/>
        <v>2887.876992</v>
      </c>
      <c r="P178" s="388">
        <f t="shared" ref="P178:P241" si="43">1-(O178/L178)</f>
        <v>0.58285082872928173</v>
      </c>
      <c r="Q178" s="131">
        <f t="shared" ref="Q178:Q241" si="44">+M178-(M178*20%)</f>
        <v>2625.3427199999996</v>
      </c>
      <c r="R178" s="105">
        <f t="shared" ref="R178:R241" si="45">1-(Q178/L178)</f>
        <v>0.62077348066298343</v>
      </c>
      <c r="S178" s="131">
        <f t="shared" ref="S178:S241" si="46">+M178-(M178*25%)</f>
        <v>2461.2587999999996</v>
      </c>
      <c r="T178" s="94">
        <f t="shared" ref="T178:T241" si="47">1-(S178/L178)</f>
        <v>0.644475138121547</v>
      </c>
      <c r="V178" s="82"/>
      <c r="W178" s="504">
        <v>130</v>
      </c>
      <c r="X178" s="506" t="s">
        <v>783</v>
      </c>
      <c r="Y178" s="508">
        <v>56</v>
      </c>
      <c r="Z178" s="403">
        <v>0</v>
      </c>
      <c r="AA178" s="407">
        <f t="shared" ref="AA178:AA241" si="48">VLOOKUP(W178,$A$49:$T$459,$AB$48,FALSE)</f>
        <v>0.644475138121547</v>
      </c>
      <c r="AB178" s="411"/>
      <c r="AC178" s="446"/>
    </row>
    <row r="179" spans="1:29">
      <c r="A179" s="67">
        <v>131</v>
      </c>
      <c r="B179" s="74" t="s">
        <v>150</v>
      </c>
      <c r="C179" s="125" t="s">
        <v>365</v>
      </c>
      <c r="D179" s="387">
        <f t="shared" si="38"/>
        <v>0</v>
      </c>
      <c r="E179" s="104">
        <f t="shared" si="36"/>
        <v>4</v>
      </c>
      <c r="F179" s="83">
        <f t="shared" ref="F179:F242" si="49">IF($K$478=$L$48,L179,IF($K$478=$M$48,M179,IF($K$478=$O$48,O179,IF($K$478=$Q$48,Q179,IF($K$478=$S$48,S179,"ERROR")))))</f>
        <v>2461.2587999999996</v>
      </c>
      <c r="G179" s="83">
        <f t="shared" si="39"/>
        <v>0</v>
      </c>
      <c r="H179" s="483">
        <f t="shared" si="40"/>
        <v>0</v>
      </c>
      <c r="I179" s="83">
        <f>+'Costo adq'!C168*$I$1</f>
        <v>3879.44</v>
      </c>
      <c r="J179" s="83">
        <f t="shared" si="41"/>
        <v>0</v>
      </c>
      <c r="L179" s="54">
        <f>VLOOKUP(A179,'Precios oferta'!$A$30:$U$436,$B$5,FALSE)</f>
        <v>6872.6192000000001</v>
      </c>
      <c r="M179" s="48">
        <f>VLOOKUP(A179,'Precios piso'!$A$30:$U$436,$B$5,FALSE)</f>
        <v>3281.6783999999998</v>
      </c>
      <c r="N179" s="105">
        <f t="shared" si="42"/>
        <v>0.52249960248052152</v>
      </c>
      <c r="O179" s="131">
        <f t="shared" si="37"/>
        <v>2887.876992</v>
      </c>
      <c r="P179" s="388">
        <f t="shared" si="43"/>
        <v>0.57979965018285895</v>
      </c>
      <c r="Q179" s="131">
        <f t="shared" si="44"/>
        <v>2625.3427199999996</v>
      </c>
      <c r="R179" s="105">
        <f t="shared" si="45"/>
        <v>0.61799968198441735</v>
      </c>
      <c r="S179" s="131">
        <f t="shared" si="46"/>
        <v>2461.2587999999996</v>
      </c>
      <c r="T179" s="94">
        <f t="shared" si="47"/>
        <v>0.64187470186039119</v>
      </c>
      <c r="V179" s="82"/>
      <c r="W179" s="504">
        <v>131</v>
      </c>
      <c r="X179" s="506" t="s">
        <v>784</v>
      </c>
      <c r="Y179" s="508">
        <v>0</v>
      </c>
      <c r="Z179" s="403">
        <v>0</v>
      </c>
      <c r="AA179" s="407">
        <f t="shared" si="48"/>
        <v>0.64187470186039119</v>
      </c>
      <c r="AB179" s="411"/>
      <c r="AC179" s="446"/>
    </row>
    <row r="180" spans="1:29">
      <c r="A180" s="67">
        <v>132</v>
      </c>
      <c r="B180" s="74" t="s">
        <v>151</v>
      </c>
      <c r="C180" s="125" t="s">
        <v>365</v>
      </c>
      <c r="D180" s="387">
        <f t="shared" si="38"/>
        <v>42</v>
      </c>
      <c r="E180" s="104">
        <f t="shared" si="36"/>
        <v>4</v>
      </c>
      <c r="F180" s="83">
        <f t="shared" si="49"/>
        <v>2857.9452000000001</v>
      </c>
      <c r="G180" s="83">
        <f t="shared" si="39"/>
        <v>480134.79360000003</v>
      </c>
      <c r="H180" s="483">
        <f t="shared" si="40"/>
        <v>0</v>
      </c>
      <c r="I180" s="83">
        <f>+'Costo adq'!C169*$I$1</f>
        <v>4559.1616000000004</v>
      </c>
      <c r="J180" s="83">
        <f t="shared" si="41"/>
        <v>765939.14880000008</v>
      </c>
      <c r="L180" s="54">
        <f>VLOOKUP(A180,'Precios oferta'!$A$30:$U$436,$B$5,FALSE)</f>
        <v>7663.8063999999995</v>
      </c>
      <c r="M180" s="48">
        <f>VLOOKUP(A180,'Precios piso'!$A$30:$U$436,$B$5,FALSE)</f>
        <v>3810.5936000000002</v>
      </c>
      <c r="N180" s="105">
        <f t="shared" si="42"/>
        <v>0.50278055040638803</v>
      </c>
      <c r="O180" s="131">
        <f t="shared" si="37"/>
        <v>3353.3223680000001</v>
      </c>
      <c r="P180" s="388">
        <f t="shared" si="43"/>
        <v>0.56244688435762158</v>
      </c>
      <c r="Q180" s="131">
        <f t="shared" si="44"/>
        <v>3048.4748800000002</v>
      </c>
      <c r="R180" s="105">
        <f t="shared" si="45"/>
        <v>0.60222444032511047</v>
      </c>
      <c r="S180" s="131">
        <f t="shared" si="46"/>
        <v>2857.9452000000001</v>
      </c>
      <c r="T180" s="94">
        <f t="shared" si="47"/>
        <v>0.62708541280479113</v>
      </c>
      <c r="V180" s="82"/>
      <c r="W180" s="504">
        <v>132</v>
      </c>
      <c r="X180" s="506" t="s">
        <v>785</v>
      </c>
      <c r="Y180" s="508">
        <v>42</v>
      </c>
      <c r="Z180" s="403">
        <v>0</v>
      </c>
      <c r="AA180" s="407">
        <f t="shared" si="48"/>
        <v>0.62708541280479113</v>
      </c>
      <c r="AB180" s="411"/>
      <c r="AC180" s="446"/>
    </row>
    <row r="181" spans="1:29">
      <c r="A181" s="67">
        <v>133</v>
      </c>
      <c r="B181" s="74" t="s">
        <v>152</v>
      </c>
      <c r="C181" s="125" t="s">
        <v>365</v>
      </c>
      <c r="D181" s="387">
        <f t="shared" si="38"/>
        <v>42</v>
      </c>
      <c r="E181" s="104">
        <f t="shared" si="36"/>
        <v>4</v>
      </c>
      <c r="F181" s="83">
        <f t="shared" si="49"/>
        <v>2757.1343999999999</v>
      </c>
      <c r="G181" s="83">
        <f t="shared" si="39"/>
        <v>463198.57919999998</v>
      </c>
      <c r="H181" s="483">
        <f t="shared" si="40"/>
        <v>0</v>
      </c>
      <c r="I181" s="83">
        <f>+'Costo adq'!C170*$I$1</f>
        <v>4952.5695999999998</v>
      </c>
      <c r="J181" s="83">
        <f t="shared" si="41"/>
        <v>832031.69279999996</v>
      </c>
      <c r="L181" s="54">
        <f>VLOOKUP(A181,'Precios oferta'!$A$30:$U$436,$B$5,FALSE)</f>
        <v>7663.8063999999995</v>
      </c>
      <c r="M181" s="48">
        <f>VLOOKUP(A181,'Precios piso'!$A$30:$U$436,$B$5,FALSE)</f>
        <v>3676.1792</v>
      </c>
      <c r="N181" s="105">
        <f t="shared" si="42"/>
        <v>0.52031940681591327</v>
      </c>
      <c r="O181" s="131">
        <f t="shared" si="37"/>
        <v>3235.0376959999999</v>
      </c>
      <c r="P181" s="388">
        <f t="shared" si="43"/>
        <v>0.5778810779980037</v>
      </c>
      <c r="Q181" s="131">
        <f t="shared" si="44"/>
        <v>2940.9433600000002</v>
      </c>
      <c r="R181" s="105">
        <f t="shared" si="45"/>
        <v>0.61625552545273066</v>
      </c>
      <c r="S181" s="131">
        <f t="shared" si="46"/>
        <v>2757.1343999999999</v>
      </c>
      <c r="T181" s="94">
        <f t="shared" si="47"/>
        <v>0.64023955511193498</v>
      </c>
      <c r="V181" s="82"/>
      <c r="W181" s="504">
        <v>133</v>
      </c>
      <c r="X181" s="506" t="s">
        <v>786</v>
      </c>
      <c r="Y181" s="508">
        <v>42</v>
      </c>
      <c r="Z181" s="403">
        <v>0</v>
      </c>
      <c r="AA181" s="407">
        <f t="shared" si="48"/>
        <v>0.64023955511193498</v>
      </c>
      <c r="AB181" s="411"/>
      <c r="AC181" s="446"/>
    </row>
    <row r="182" spans="1:29">
      <c r="A182" s="67">
        <v>134</v>
      </c>
      <c r="B182" s="74" t="s">
        <v>153</v>
      </c>
      <c r="C182" s="125" t="s">
        <v>365</v>
      </c>
      <c r="D182" s="387">
        <f t="shared" si="38"/>
        <v>42</v>
      </c>
      <c r="E182" s="104">
        <f t="shared" si="36"/>
        <v>4</v>
      </c>
      <c r="F182" s="83">
        <f t="shared" si="49"/>
        <v>2312.9112</v>
      </c>
      <c r="G182" s="83">
        <f t="shared" si="39"/>
        <v>388569.08159999998</v>
      </c>
      <c r="H182" s="483">
        <f t="shared" si="40"/>
        <v>0</v>
      </c>
      <c r="I182" s="83">
        <f>+'Costo adq'!C171*$I$1</f>
        <v>5661.7968000000001</v>
      </c>
      <c r="J182" s="83">
        <f t="shared" si="41"/>
        <v>951181.86239999998</v>
      </c>
      <c r="L182" s="54">
        <f>VLOOKUP(A182,'Precios oferta'!$A$30:$U$436,$B$5,FALSE)</f>
        <v>8381.7759999999998</v>
      </c>
      <c r="M182" s="48">
        <f>VLOOKUP(A182,'Precios piso'!$A$30:$U$436,$B$5,FALSE)</f>
        <v>3083.8816000000002</v>
      </c>
      <c r="N182" s="105">
        <f t="shared" si="42"/>
        <v>0.63207301173402863</v>
      </c>
      <c r="O182" s="131">
        <f t="shared" si="37"/>
        <v>2713.8158080000003</v>
      </c>
      <c r="P182" s="388">
        <f t="shared" si="43"/>
        <v>0.67622425032594524</v>
      </c>
      <c r="Q182" s="131">
        <f t="shared" si="44"/>
        <v>2467.1052800000002</v>
      </c>
      <c r="R182" s="105">
        <f t="shared" si="45"/>
        <v>0.70565840938722291</v>
      </c>
      <c r="S182" s="131">
        <f t="shared" si="46"/>
        <v>2312.9112</v>
      </c>
      <c r="T182" s="94">
        <f t="shared" si="47"/>
        <v>0.7240547588005215</v>
      </c>
      <c r="V182" s="82"/>
      <c r="W182" s="504">
        <v>134</v>
      </c>
      <c r="X182" s="506" t="s">
        <v>787</v>
      </c>
      <c r="Y182" s="508">
        <v>42</v>
      </c>
      <c r="Z182" s="403">
        <v>0</v>
      </c>
      <c r="AA182" s="407">
        <f t="shared" si="48"/>
        <v>0.7240547588005215</v>
      </c>
      <c r="AB182" s="411"/>
      <c r="AC182" s="446"/>
    </row>
    <row r="183" spans="1:29">
      <c r="A183" s="67">
        <v>135</v>
      </c>
      <c r="B183" s="74" t="s">
        <v>154</v>
      </c>
      <c r="C183" s="125" t="s">
        <v>365</v>
      </c>
      <c r="D183" s="387">
        <f t="shared" si="38"/>
        <v>0</v>
      </c>
      <c r="E183" s="104">
        <f t="shared" si="36"/>
        <v>4</v>
      </c>
      <c r="F183" s="83">
        <f t="shared" si="49"/>
        <v>15847.785599999999</v>
      </c>
      <c r="G183" s="83">
        <f t="shared" si="39"/>
        <v>0</v>
      </c>
      <c r="H183" s="483">
        <f t="shared" si="40"/>
        <v>0</v>
      </c>
      <c r="I183" s="83">
        <f>+'Costo adq'!C172*$I$1</f>
        <v>14311.308800000001</v>
      </c>
      <c r="J183" s="83">
        <f t="shared" si="41"/>
        <v>0</v>
      </c>
      <c r="L183" s="54">
        <f>VLOOKUP(A183,'Precios oferta'!$A$30:$U$436,$B$5,FALSE)</f>
        <v>50312.512000000002</v>
      </c>
      <c r="M183" s="48">
        <f>VLOOKUP(A183,'Precios piso'!$A$30:$U$436,$B$5,FALSE)</f>
        <v>21130.380799999999</v>
      </c>
      <c r="N183" s="105">
        <f t="shared" si="42"/>
        <v>0.58001737619461347</v>
      </c>
      <c r="O183" s="131">
        <f t="shared" si="37"/>
        <v>18594.735103999999</v>
      </c>
      <c r="P183" s="388">
        <f t="shared" si="43"/>
        <v>0.63041529105125982</v>
      </c>
      <c r="Q183" s="131">
        <f t="shared" si="44"/>
        <v>16904.304639999998</v>
      </c>
      <c r="R183" s="105">
        <f t="shared" si="45"/>
        <v>0.66401390095569068</v>
      </c>
      <c r="S183" s="131">
        <f t="shared" si="46"/>
        <v>15847.785599999999</v>
      </c>
      <c r="T183" s="94">
        <f t="shared" si="47"/>
        <v>0.68501303214595999</v>
      </c>
      <c r="V183" s="82"/>
      <c r="W183" s="504">
        <v>135</v>
      </c>
      <c r="X183" s="506" t="s">
        <v>788</v>
      </c>
      <c r="Y183" s="508">
        <v>0</v>
      </c>
      <c r="Z183" s="403">
        <v>0</v>
      </c>
      <c r="AA183" s="407">
        <f t="shared" si="48"/>
        <v>0.68501303214595999</v>
      </c>
      <c r="AB183" s="411"/>
      <c r="AC183" s="446"/>
    </row>
    <row r="184" spans="1:29">
      <c r="A184" s="67">
        <v>136</v>
      </c>
      <c r="B184" s="74" t="s">
        <v>155</v>
      </c>
      <c r="C184" s="125" t="s">
        <v>365</v>
      </c>
      <c r="D184" s="387">
        <f t="shared" si="38"/>
        <v>0</v>
      </c>
      <c r="E184" s="104">
        <f t="shared" si="36"/>
        <v>4</v>
      </c>
      <c r="F184" s="83">
        <f t="shared" si="49"/>
        <v>5747.8547999999992</v>
      </c>
      <c r="G184" s="83">
        <f t="shared" si="39"/>
        <v>0</v>
      </c>
      <c r="H184" s="483">
        <f t="shared" si="40"/>
        <v>0</v>
      </c>
      <c r="I184" s="83">
        <f>+'Costo adq'!C173*$I$1</f>
        <v>10288.712</v>
      </c>
      <c r="J184" s="83">
        <f t="shared" si="41"/>
        <v>0</v>
      </c>
      <c r="L184" s="54">
        <f>VLOOKUP(A184,'Precios oferta'!$A$30:$U$436,$B$5,FALSE)</f>
        <v>17813.732800000002</v>
      </c>
      <c r="M184" s="48">
        <f>VLOOKUP(A184,'Precios piso'!$A$30:$U$436,$B$5,FALSE)</f>
        <v>7663.8063999999995</v>
      </c>
      <c r="N184" s="105">
        <f t="shared" si="42"/>
        <v>0.56978099503097979</v>
      </c>
      <c r="O184" s="131">
        <f t="shared" si="37"/>
        <v>6744.1496319999997</v>
      </c>
      <c r="P184" s="388">
        <f t="shared" si="43"/>
        <v>0.62140727562726217</v>
      </c>
      <c r="Q184" s="131">
        <f t="shared" si="44"/>
        <v>6131.0451199999998</v>
      </c>
      <c r="R184" s="105">
        <f t="shared" si="45"/>
        <v>0.65582479602478383</v>
      </c>
      <c r="S184" s="131">
        <f t="shared" si="46"/>
        <v>5747.8547999999992</v>
      </c>
      <c r="T184" s="94">
        <f t="shared" si="47"/>
        <v>0.67733574627323478</v>
      </c>
      <c r="V184" s="82"/>
      <c r="W184" s="504">
        <v>136</v>
      </c>
      <c r="X184" s="506" t="s">
        <v>789</v>
      </c>
      <c r="Y184" s="508">
        <v>0</v>
      </c>
      <c r="Z184" s="403">
        <v>0</v>
      </c>
      <c r="AA184" s="407">
        <f t="shared" si="48"/>
        <v>0.67733574627323478</v>
      </c>
      <c r="AB184" s="411"/>
      <c r="AC184" s="446"/>
    </row>
    <row r="185" spans="1:29">
      <c r="A185" s="67">
        <v>137</v>
      </c>
      <c r="B185" s="74" t="s">
        <v>156</v>
      </c>
      <c r="C185" s="125" t="s">
        <v>365</v>
      </c>
      <c r="D185" s="387">
        <f t="shared" si="38"/>
        <v>0</v>
      </c>
      <c r="E185" s="104">
        <f t="shared" si="36"/>
        <v>4</v>
      </c>
      <c r="F185" s="83">
        <f t="shared" si="49"/>
        <v>14343</v>
      </c>
      <c r="G185" s="83">
        <f t="shared" si="39"/>
        <v>0</v>
      </c>
      <c r="H185" s="483">
        <f t="shared" si="40"/>
        <v>0</v>
      </c>
      <c r="I185" s="83">
        <f>+'Costo adq'!C174*$I$1</f>
        <v>22484.469279999998</v>
      </c>
      <c r="J185" s="83">
        <f t="shared" si="41"/>
        <v>0</v>
      </c>
      <c r="L185" s="54">
        <f>VLOOKUP(A185,'Precios oferta'!$A$30:$U$436,$B$5,FALSE)</f>
        <v>36268.939200000001</v>
      </c>
      <c r="M185" s="48">
        <f>VLOOKUP(A185,'Precios piso'!$A$30:$U$436,$B$5,FALSE)</f>
        <v>19124</v>
      </c>
      <c r="N185" s="105">
        <f t="shared" si="42"/>
        <v>0.47271686402121182</v>
      </c>
      <c r="O185" s="131">
        <f t="shared" si="37"/>
        <v>16829.12</v>
      </c>
      <c r="P185" s="388">
        <f t="shared" si="43"/>
        <v>0.5359908403386664</v>
      </c>
      <c r="Q185" s="131">
        <f t="shared" si="44"/>
        <v>15299.2</v>
      </c>
      <c r="R185" s="105">
        <f t="shared" si="45"/>
        <v>0.57817349121696948</v>
      </c>
      <c r="S185" s="131">
        <f t="shared" si="46"/>
        <v>14343</v>
      </c>
      <c r="T185" s="94">
        <f t="shared" si="47"/>
        <v>0.60453764801590881</v>
      </c>
      <c r="V185" s="82"/>
      <c r="W185" s="504">
        <v>137</v>
      </c>
      <c r="X185" s="506" t="s">
        <v>790</v>
      </c>
      <c r="Y185" s="508">
        <v>0</v>
      </c>
      <c r="Z185" s="403">
        <v>0</v>
      </c>
      <c r="AA185" s="407">
        <f t="shared" si="48"/>
        <v>0.60453764801590881</v>
      </c>
      <c r="AB185" s="411"/>
      <c r="AC185" s="446"/>
    </row>
    <row r="186" spans="1:29">
      <c r="A186" s="67">
        <v>138</v>
      </c>
      <c r="B186" s="74" t="s">
        <v>157</v>
      </c>
      <c r="C186" s="125" t="s">
        <v>365</v>
      </c>
      <c r="D186" s="387">
        <f t="shared" si="38"/>
        <v>0</v>
      </c>
      <c r="E186" s="104">
        <f t="shared" si="36"/>
        <v>4</v>
      </c>
      <c r="F186" s="83">
        <f t="shared" si="49"/>
        <v>2039.9843999999998</v>
      </c>
      <c r="G186" s="83">
        <f t="shared" si="39"/>
        <v>0</v>
      </c>
      <c r="H186" s="483">
        <f t="shared" si="40"/>
        <v>0</v>
      </c>
      <c r="I186" s="83">
        <f>+'Costo adq'!C175*$I$1</f>
        <v>7364.3792000000003</v>
      </c>
      <c r="J186" s="83">
        <f t="shared" si="41"/>
        <v>0</v>
      </c>
      <c r="L186" s="54">
        <f>VLOOKUP(A186,'Precios oferta'!$A$30:$U$436,$B$5,FALSE)</f>
        <v>9085.5391999999993</v>
      </c>
      <c r="M186" s="48">
        <f>VLOOKUP(A186,'Precios piso'!$A$30:$U$436,$B$5,FALSE)</f>
        <v>2719.9791999999998</v>
      </c>
      <c r="N186" s="105">
        <f t="shared" si="42"/>
        <v>0.70062545104642771</v>
      </c>
      <c r="O186" s="131">
        <f t="shared" si="37"/>
        <v>2393.5816959999997</v>
      </c>
      <c r="P186" s="388">
        <f t="shared" si="43"/>
        <v>0.73655039692085644</v>
      </c>
      <c r="Q186" s="131">
        <f t="shared" si="44"/>
        <v>2175.9833599999997</v>
      </c>
      <c r="R186" s="105">
        <f t="shared" si="45"/>
        <v>0.76050036083714212</v>
      </c>
      <c r="S186" s="131">
        <f t="shared" si="46"/>
        <v>2039.9843999999998</v>
      </c>
      <c r="T186" s="94">
        <f t="shared" si="47"/>
        <v>0.77546908828482075</v>
      </c>
      <c r="V186" s="82"/>
      <c r="W186" s="504">
        <v>138</v>
      </c>
      <c r="X186" s="506" t="s">
        <v>791</v>
      </c>
      <c r="Y186" s="508">
        <v>0</v>
      </c>
      <c r="Z186" s="403">
        <v>0</v>
      </c>
      <c r="AA186" s="407">
        <f t="shared" si="48"/>
        <v>0.77546908828482075</v>
      </c>
      <c r="AB186" s="411"/>
      <c r="AC186" s="446"/>
    </row>
    <row r="187" spans="1:29">
      <c r="A187" s="67">
        <v>139</v>
      </c>
      <c r="B187" s="74" t="s">
        <v>158</v>
      </c>
      <c r="C187" s="125" t="s">
        <v>365</v>
      </c>
      <c r="D187" s="387">
        <f t="shared" si="38"/>
        <v>0</v>
      </c>
      <c r="E187" s="104">
        <f t="shared" si="36"/>
        <v>4</v>
      </c>
      <c r="F187" s="83">
        <f t="shared" si="49"/>
        <v>6399.4367999999995</v>
      </c>
      <c r="G187" s="83">
        <f t="shared" si="39"/>
        <v>0</v>
      </c>
      <c r="H187" s="483">
        <f t="shared" si="40"/>
        <v>0</v>
      </c>
      <c r="I187" s="83">
        <f>+'Costo adq'!C176*$I$1</f>
        <v>12567.2</v>
      </c>
      <c r="J187" s="83">
        <f t="shared" si="41"/>
        <v>0</v>
      </c>
      <c r="L187" s="54">
        <f>VLOOKUP(A187,'Precios oferta'!$A$30:$U$436,$B$5,FALSE)</f>
        <v>20397.112000000001</v>
      </c>
      <c r="M187" s="48">
        <f>VLOOKUP(A187,'Precios piso'!$A$30:$U$436,$B$5,FALSE)</f>
        <v>8532.5823999999993</v>
      </c>
      <c r="N187" s="105">
        <f t="shared" si="42"/>
        <v>0.58167693544066434</v>
      </c>
      <c r="O187" s="131">
        <f t="shared" si="37"/>
        <v>7508.6725119999992</v>
      </c>
      <c r="P187" s="388">
        <f t="shared" si="43"/>
        <v>0.63187570318778463</v>
      </c>
      <c r="Q187" s="131">
        <f t="shared" si="44"/>
        <v>6826.0659199999991</v>
      </c>
      <c r="R187" s="105">
        <f t="shared" si="45"/>
        <v>0.66534154835253156</v>
      </c>
      <c r="S187" s="131">
        <f t="shared" si="46"/>
        <v>6399.4367999999995</v>
      </c>
      <c r="T187" s="94">
        <f t="shared" si="47"/>
        <v>0.68625770158049826</v>
      </c>
      <c r="V187" s="82"/>
      <c r="W187" s="504">
        <v>139</v>
      </c>
      <c r="X187" s="506" t="s">
        <v>792</v>
      </c>
      <c r="Y187" s="508">
        <v>0</v>
      </c>
      <c r="Z187" s="403">
        <v>0</v>
      </c>
      <c r="AA187" s="407">
        <f t="shared" si="48"/>
        <v>0.68625770158049826</v>
      </c>
      <c r="AB187" s="411"/>
      <c r="AC187" s="446"/>
    </row>
    <row r="188" spans="1:29">
      <c r="A188" s="67">
        <v>140</v>
      </c>
      <c r="B188" s="74" t="s">
        <v>159</v>
      </c>
      <c r="C188" s="125" t="s">
        <v>365</v>
      </c>
      <c r="D188" s="387">
        <f t="shared" si="38"/>
        <v>0</v>
      </c>
      <c r="E188" s="104">
        <f t="shared" si="36"/>
        <v>4</v>
      </c>
      <c r="F188" s="83">
        <f t="shared" si="49"/>
        <v>9735.2088000000003</v>
      </c>
      <c r="G188" s="83">
        <f t="shared" si="39"/>
        <v>0</v>
      </c>
      <c r="H188" s="483">
        <f t="shared" si="40"/>
        <v>0</v>
      </c>
      <c r="I188" s="83">
        <f>+'Costo adq'!C177*$I$1</f>
        <v>12567.2</v>
      </c>
      <c r="J188" s="83">
        <f t="shared" si="41"/>
        <v>0</v>
      </c>
      <c r="L188" s="54">
        <f>VLOOKUP(A188,'Precios oferta'!$A$30:$U$436,$B$5,FALSE)</f>
        <v>28184.4048</v>
      </c>
      <c r="M188" s="48">
        <f>VLOOKUP(A188,'Precios piso'!$A$30:$U$436,$B$5,FALSE)</f>
        <v>12980.278399999999</v>
      </c>
      <c r="N188" s="105">
        <f t="shared" si="42"/>
        <v>0.53945174673335661</v>
      </c>
      <c r="O188" s="131">
        <f t="shared" si="37"/>
        <v>11422.644992</v>
      </c>
      <c r="P188" s="388">
        <f t="shared" si="43"/>
        <v>0.5947175371253538</v>
      </c>
      <c r="Q188" s="131">
        <f t="shared" si="44"/>
        <v>10384.22272</v>
      </c>
      <c r="R188" s="105">
        <f t="shared" si="45"/>
        <v>0.63156139738668526</v>
      </c>
      <c r="S188" s="131">
        <f t="shared" si="46"/>
        <v>9735.2088000000003</v>
      </c>
      <c r="T188" s="94">
        <f t="shared" si="47"/>
        <v>0.65458881005001746</v>
      </c>
      <c r="V188" s="82"/>
      <c r="W188" s="504">
        <v>140</v>
      </c>
      <c r="X188" s="506" t="s">
        <v>793</v>
      </c>
      <c r="Y188" s="508">
        <v>0</v>
      </c>
      <c r="Z188" s="403">
        <v>0</v>
      </c>
      <c r="AA188" s="407">
        <f t="shared" si="48"/>
        <v>0.65458881005001746</v>
      </c>
      <c r="AB188" s="411"/>
      <c r="AC188" s="446"/>
    </row>
    <row r="189" spans="1:29">
      <c r="A189" s="67">
        <v>141</v>
      </c>
      <c r="B189" s="74" t="s">
        <v>160</v>
      </c>
      <c r="C189" s="125" t="s">
        <v>365</v>
      </c>
      <c r="D189" s="387">
        <f t="shared" si="38"/>
        <v>65</v>
      </c>
      <c r="E189" s="104">
        <f t="shared" si="36"/>
        <v>4</v>
      </c>
      <c r="F189" s="83">
        <f t="shared" si="49"/>
        <v>1283.4935999999998</v>
      </c>
      <c r="G189" s="83">
        <f t="shared" si="39"/>
        <v>333708.33599999995</v>
      </c>
      <c r="H189" s="483">
        <f t="shared" si="40"/>
        <v>0</v>
      </c>
      <c r="I189" s="83">
        <f>+'Costo adq'!C178*$I$1</f>
        <v>1821.6976</v>
      </c>
      <c r="J189" s="83">
        <f t="shared" si="41"/>
        <v>473641.37599999999</v>
      </c>
      <c r="L189" s="54">
        <f>VLOOKUP(A189,'Precios oferta'!$A$30:$U$436,$B$5,FALSE)</f>
        <v>3090.4384</v>
      </c>
      <c r="M189" s="48">
        <f>VLOOKUP(A189,'Precios piso'!$A$30:$U$436,$B$5,FALSE)</f>
        <v>1711.3247999999999</v>
      </c>
      <c r="N189" s="105">
        <f t="shared" si="42"/>
        <v>0.44625176803394628</v>
      </c>
      <c r="O189" s="131">
        <f t="shared" si="37"/>
        <v>1505.9658239999999</v>
      </c>
      <c r="P189" s="388">
        <f t="shared" si="43"/>
        <v>0.51270155586987276</v>
      </c>
      <c r="Q189" s="131">
        <f t="shared" si="44"/>
        <v>1369.0598399999999</v>
      </c>
      <c r="R189" s="105">
        <f t="shared" si="45"/>
        <v>0.55700141442715712</v>
      </c>
      <c r="S189" s="131">
        <f t="shared" si="46"/>
        <v>1283.4935999999998</v>
      </c>
      <c r="T189" s="94">
        <f t="shared" si="47"/>
        <v>0.58468882602545968</v>
      </c>
      <c r="V189" s="82"/>
      <c r="W189" s="504">
        <v>141</v>
      </c>
      <c r="X189" s="506" t="s">
        <v>794</v>
      </c>
      <c r="Y189" s="508">
        <v>65</v>
      </c>
      <c r="Z189" s="403">
        <v>0</v>
      </c>
      <c r="AA189" s="407">
        <f t="shared" si="48"/>
        <v>0.58468882602545968</v>
      </c>
      <c r="AB189" s="411"/>
      <c r="AC189" s="446"/>
    </row>
    <row r="190" spans="1:29">
      <c r="A190" s="67">
        <v>142</v>
      </c>
      <c r="B190" s="74" t="s">
        <v>161</v>
      </c>
      <c r="C190" s="125" t="s">
        <v>365</v>
      </c>
      <c r="D190" s="387">
        <f t="shared" si="38"/>
        <v>0</v>
      </c>
      <c r="E190" s="104">
        <f t="shared" si="36"/>
        <v>4</v>
      </c>
      <c r="F190" s="83">
        <f t="shared" si="49"/>
        <v>6526.4748</v>
      </c>
      <c r="G190" s="83">
        <f t="shared" si="39"/>
        <v>0</v>
      </c>
      <c r="H190" s="483">
        <f t="shared" si="40"/>
        <v>0</v>
      </c>
      <c r="I190" s="83">
        <f>+'Costo adq'!C179*$I$1</f>
        <v>8840.7520000000004</v>
      </c>
      <c r="J190" s="83">
        <f t="shared" si="41"/>
        <v>0</v>
      </c>
      <c r="L190" s="54">
        <f>VLOOKUP(A190,'Precios oferta'!$A$30:$U$436,$B$5,FALSE)</f>
        <v>19692.256000000001</v>
      </c>
      <c r="M190" s="48">
        <f>VLOOKUP(A190,'Precios piso'!$A$30:$U$436,$B$5,FALSE)</f>
        <v>8701.9663999999993</v>
      </c>
      <c r="N190" s="105">
        <f t="shared" si="42"/>
        <v>0.55810210876803557</v>
      </c>
      <c r="O190" s="131">
        <f t="shared" si="37"/>
        <v>7657.7304319999994</v>
      </c>
      <c r="P190" s="388">
        <f t="shared" si="43"/>
        <v>0.61112985571587131</v>
      </c>
      <c r="Q190" s="131">
        <f t="shared" si="44"/>
        <v>6961.5731199999991</v>
      </c>
      <c r="R190" s="105">
        <f t="shared" si="45"/>
        <v>0.64648168701442854</v>
      </c>
      <c r="S190" s="131">
        <f t="shared" si="46"/>
        <v>6526.4748</v>
      </c>
      <c r="T190" s="94">
        <f t="shared" si="47"/>
        <v>0.66857658157602673</v>
      </c>
      <c r="V190" s="82"/>
      <c r="W190" s="504">
        <v>142</v>
      </c>
      <c r="X190" s="506" t="s">
        <v>795</v>
      </c>
      <c r="Y190" s="508">
        <v>0</v>
      </c>
      <c r="Z190" s="403">
        <v>0</v>
      </c>
      <c r="AA190" s="407">
        <f t="shared" si="48"/>
        <v>0.66857658157602673</v>
      </c>
      <c r="AB190" s="411"/>
      <c r="AC190" s="446"/>
    </row>
    <row r="191" spans="1:29">
      <c r="A191" s="67">
        <v>143</v>
      </c>
      <c r="B191" s="74" t="s">
        <v>162</v>
      </c>
      <c r="C191" s="125" t="s">
        <v>365</v>
      </c>
      <c r="D191" s="387">
        <f t="shared" si="38"/>
        <v>16</v>
      </c>
      <c r="E191" s="104">
        <f t="shared" si="36"/>
        <v>4</v>
      </c>
      <c r="F191" s="83">
        <f t="shared" si="49"/>
        <v>6977.2548000000006</v>
      </c>
      <c r="G191" s="83">
        <f t="shared" si="39"/>
        <v>446544.30720000004</v>
      </c>
      <c r="H191" s="483">
        <f t="shared" si="40"/>
        <v>0</v>
      </c>
      <c r="I191" s="83">
        <f>+'Costo adq'!C180*$I$1</f>
        <v>8840.7520000000004</v>
      </c>
      <c r="J191" s="83">
        <f t="shared" si="41"/>
        <v>565808.12800000003</v>
      </c>
      <c r="L191" s="54">
        <f>VLOOKUP(A191,'Precios oferta'!$A$30:$U$436,$B$5,FALSE)</f>
        <v>19580.790399999998</v>
      </c>
      <c r="M191" s="48">
        <f>VLOOKUP(A191,'Precios piso'!$A$30:$U$436,$B$5,FALSE)</f>
        <v>9303.0064000000002</v>
      </c>
      <c r="N191" s="105">
        <f t="shared" si="42"/>
        <v>0.52489117088960824</v>
      </c>
      <c r="O191" s="131">
        <f t="shared" si="37"/>
        <v>8186.6456319999998</v>
      </c>
      <c r="P191" s="388">
        <f t="shared" si="43"/>
        <v>0.58190423038285521</v>
      </c>
      <c r="Q191" s="131">
        <f t="shared" si="44"/>
        <v>7442.4051200000004</v>
      </c>
      <c r="R191" s="105">
        <f t="shared" si="45"/>
        <v>0.61991293671168646</v>
      </c>
      <c r="S191" s="131">
        <f t="shared" si="46"/>
        <v>6977.2548000000006</v>
      </c>
      <c r="T191" s="94">
        <f t="shared" si="47"/>
        <v>0.64366837816720612</v>
      </c>
      <c r="V191" s="82"/>
      <c r="W191" s="504">
        <v>143</v>
      </c>
      <c r="X191" s="506" t="s">
        <v>796</v>
      </c>
      <c r="Y191" s="508">
        <v>16</v>
      </c>
      <c r="Z191" s="403">
        <v>0</v>
      </c>
      <c r="AA191" s="407">
        <f t="shared" si="48"/>
        <v>0.64366837816720612</v>
      </c>
      <c r="AB191" s="411"/>
      <c r="AC191" s="446">
        <v>0.66054387916398338</v>
      </c>
    </row>
    <row r="192" spans="1:29">
      <c r="A192" s="67">
        <v>144</v>
      </c>
      <c r="B192" s="74" t="s">
        <v>163</v>
      </c>
      <c r="C192" s="125" t="s">
        <v>365</v>
      </c>
      <c r="D192" s="387">
        <f t="shared" si="38"/>
        <v>41</v>
      </c>
      <c r="E192" s="104">
        <f t="shared" si="36"/>
        <v>4</v>
      </c>
      <c r="F192" s="83">
        <f t="shared" si="49"/>
        <v>7410.8231999999989</v>
      </c>
      <c r="G192" s="83">
        <f t="shared" si="39"/>
        <v>1215375.0047999998</v>
      </c>
      <c r="H192" s="483">
        <f t="shared" si="40"/>
        <v>0</v>
      </c>
      <c r="I192" s="83">
        <f>+'Costo adq'!C181*$I$1</f>
        <v>9308.4704000000002</v>
      </c>
      <c r="J192" s="83">
        <f t="shared" si="41"/>
        <v>1526589.1455999999</v>
      </c>
      <c r="L192" s="54">
        <f>VLOOKUP(A192,'Precios oferta'!$A$30:$U$436,$B$5,FALSE)</f>
        <v>17949.239999999998</v>
      </c>
      <c r="M192" s="48">
        <f>VLOOKUP(A192,'Precios piso'!$A$30:$U$436,$B$5,FALSE)</f>
        <v>9881.0975999999991</v>
      </c>
      <c r="N192" s="105">
        <f t="shared" si="42"/>
        <v>0.4494977168949772</v>
      </c>
      <c r="O192" s="131">
        <f t="shared" si="37"/>
        <v>8695.3658880000003</v>
      </c>
      <c r="P192" s="388">
        <f t="shared" si="43"/>
        <v>0.51555799086757981</v>
      </c>
      <c r="Q192" s="131">
        <f t="shared" si="44"/>
        <v>7904.8780799999995</v>
      </c>
      <c r="R192" s="105">
        <f t="shared" si="45"/>
        <v>0.55959817351598173</v>
      </c>
      <c r="S192" s="131">
        <f t="shared" si="46"/>
        <v>7410.8231999999989</v>
      </c>
      <c r="T192" s="94">
        <f t="shared" si="47"/>
        <v>0.5871232876712329</v>
      </c>
      <c r="V192" s="82"/>
      <c r="W192" s="504">
        <v>144</v>
      </c>
      <c r="X192" s="506" t="s">
        <v>797</v>
      </c>
      <c r="Y192" s="508">
        <v>41</v>
      </c>
      <c r="Z192" s="403">
        <v>0</v>
      </c>
      <c r="AA192" s="407">
        <f t="shared" si="48"/>
        <v>0.5871232876712329</v>
      </c>
      <c r="AB192" s="411"/>
      <c r="AC192" s="446"/>
    </row>
    <row r="193" spans="1:29">
      <c r="A193" s="67">
        <v>145</v>
      </c>
      <c r="B193" s="74" t="s">
        <v>164</v>
      </c>
      <c r="C193" s="125" t="s">
        <v>365</v>
      </c>
      <c r="D193" s="387">
        <f t="shared" si="38"/>
        <v>0</v>
      </c>
      <c r="E193" s="104">
        <f t="shared" si="36"/>
        <v>4</v>
      </c>
      <c r="F193" s="83">
        <f t="shared" si="49"/>
        <v>8435.3231999999989</v>
      </c>
      <c r="G193" s="83">
        <f t="shared" si="39"/>
        <v>0</v>
      </c>
      <c r="H193" s="483">
        <f t="shared" si="40"/>
        <v>0</v>
      </c>
      <c r="I193" s="83">
        <f>+'Costo adq'!C182*$I$1</f>
        <v>9308.4704000000002</v>
      </c>
      <c r="J193" s="83">
        <f t="shared" si="41"/>
        <v>0</v>
      </c>
      <c r="L193" s="54">
        <f>VLOOKUP(A193,'Precios oferta'!$A$30:$U$436,$B$5,FALSE)</f>
        <v>23350.950400000002</v>
      </c>
      <c r="M193" s="48">
        <f>VLOOKUP(A193,'Precios piso'!$A$30:$U$436,$B$5,FALSE)</f>
        <v>11247.097599999999</v>
      </c>
      <c r="N193" s="105">
        <f t="shared" si="42"/>
        <v>0.51834518906776494</v>
      </c>
      <c r="O193" s="131">
        <f t="shared" si="37"/>
        <v>9897.4458879999984</v>
      </c>
      <c r="P193" s="388">
        <f t="shared" si="43"/>
        <v>0.57614376637963316</v>
      </c>
      <c r="Q193" s="131">
        <f t="shared" si="44"/>
        <v>8997.6780799999997</v>
      </c>
      <c r="R193" s="105">
        <f t="shared" si="45"/>
        <v>0.61467615125421193</v>
      </c>
      <c r="S193" s="131">
        <f t="shared" si="46"/>
        <v>8435.3231999999989</v>
      </c>
      <c r="T193" s="94">
        <f t="shared" si="47"/>
        <v>0.63875889180082379</v>
      </c>
      <c r="V193" s="82"/>
      <c r="W193" s="504">
        <v>145</v>
      </c>
      <c r="X193" s="506" t="s">
        <v>798</v>
      </c>
      <c r="Y193" s="508">
        <v>0</v>
      </c>
      <c r="Z193" s="403">
        <v>0</v>
      </c>
      <c r="AA193" s="407">
        <f t="shared" si="48"/>
        <v>0.63875889180082379</v>
      </c>
      <c r="AB193" s="411"/>
      <c r="AC193" s="446"/>
    </row>
    <row r="194" spans="1:29">
      <c r="A194" s="67">
        <v>146</v>
      </c>
      <c r="B194" s="74" t="s">
        <v>165</v>
      </c>
      <c r="C194" s="125" t="s">
        <v>365</v>
      </c>
      <c r="D194" s="387">
        <f t="shared" si="38"/>
        <v>80</v>
      </c>
      <c r="E194" s="104">
        <f t="shared" si="36"/>
        <v>4</v>
      </c>
      <c r="F194" s="83">
        <f t="shared" si="49"/>
        <v>13496.353199999998</v>
      </c>
      <c r="G194" s="83">
        <f t="shared" si="39"/>
        <v>4318833.0239999993</v>
      </c>
      <c r="H194" s="483">
        <f t="shared" si="40"/>
        <v>0</v>
      </c>
      <c r="I194" s="83">
        <f>+'Costo adq'!C183*$I$1</f>
        <v>16255.4</v>
      </c>
      <c r="J194" s="83">
        <f t="shared" si="41"/>
        <v>5201728</v>
      </c>
      <c r="L194" s="54">
        <f>VLOOKUP(A194,'Precios oferta'!$A$30:$U$436,$B$5,FALSE)</f>
        <v>29989.7104</v>
      </c>
      <c r="M194" s="48">
        <f>VLOOKUP(A194,'Precios piso'!$A$30:$U$436,$B$5,FALSE)</f>
        <v>17995.137599999998</v>
      </c>
      <c r="N194" s="105">
        <f t="shared" si="42"/>
        <v>0.39995627300222281</v>
      </c>
      <c r="O194" s="131">
        <f t="shared" si="37"/>
        <v>15835.721087999998</v>
      </c>
      <c r="P194" s="388">
        <f t="shared" si="43"/>
        <v>0.47196152024195615</v>
      </c>
      <c r="Q194" s="131">
        <f t="shared" si="44"/>
        <v>14396.110079999999</v>
      </c>
      <c r="R194" s="105">
        <f t="shared" si="45"/>
        <v>0.51996501840177833</v>
      </c>
      <c r="S194" s="131">
        <f t="shared" si="46"/>
        <v>13496.353199999998</v>
      </c>
      <c r="T194" s="94">
        <f t="shared" si="47"/>
        <v>0.54996720475166716</v>
      </c>
      <c r="V194" s="82"/>
      <c r="W194" s="504">
        <v>146</v>
      </c>
      <c r="X194" s="506" t="s">
        <v>799</v>
      </c>
      <c r="Y194" s="508">
        <v>80</v>
      </c>
      <c r="Z194" s="403">
        <v>0</v>
      </c>
      <c r="AA194" s="407">
        <f t="shared" si="48"/>
        <v>0.54996720475166716</v>
      </c>
      <c r="AB194" s="411"/>
      <c r="AC194" s="446"/>
    </row>
    <row r="195" spans="1:29">
      <c r="A195" s="67">
        <v>147</v>
      </c>
      <c r="B195" s="74" t="s">
        <v>166</v>
      </c>
      <c r="C195" s="125" t="s">
        <v>365</v>
      </c>
      <c r="D195" s="387">
        <f t="shared" si="38"/>
        <v>0</v>
      </c>
      <c r="E195" s="104">
        <f t="shared" si="36"/>
        <v>4</v>
      </c>
      <c r="F195" s="83">
        <f t="shared" si="49"/>
        <v>11774.373600000001</v>
      </c>
      <c r="G195" s="83">
        <f t="shared" si="39"/>
        <v>0</v>
      </c>
      <c r="H195" s="483">
        <f t="shared" si="40"/>
        <v>0</v>
      </c>
      <c r="I195" s="83">
        <f>+'Costo adq'!C184*$I$1</f>
        <v>18103.324799999999</v>
      </c>
      <c r="J195" s="83">
        <f t="shared" si="41"/>
        <v>0</v>
      </c>
      <c r="L195" s="54">
        <f>VLOOKUP(A195,'Precios oferta'!$A$30:$U$436,$B$5,FALSE)</f>
        <v>29507.785599999999</v>
      </c>
      <c r="M195" s="48">
        <f>VLOOKUP(A195,'Precios piso'!$A$30:$U$436,$B$5,FALSE)</f>
        <v>15699.1648</v>
      </c>
      <c r="N195" s="105">
        <f t="shared" si="42"/>
        <v>0.46796533590104439</v>
      </c>
      <c r="O195" s="131">
        <f t="shared" si="37"/>
        <v>13815.265024</v>
      </c>
      <c r="P195" s="388">
        <f t="shared" si="43"/>
        <v>0.53180949559291901</v>
      </c>
      <c r="Q195" s="131">
        <f t="shared" si="44"/>
        <v>12559.331840000001</v>
      </c>
      <c r="R195" s="105">
        <f t="shared" si="45"/>
        <v>0.57437226872083547</v>
      </c>
      <c r="S195" s="131">
        <f t="shared" si="46"/>
        <v>11774.373600000001</v>
      </c>
      <c r="T195" s="94">
        <f t="shared" si="47"/>
        <v>0.60097400192578321</v>
      </c>
      <c r="V195" s="82"/>
      <c r="W195" s="504">
        <v>147</v>
      </c>
      <c r="X195" s="506" t="s">
        <v>800</v>
      </c>
      <c r="Y195" s="508">
        <v>0</v>
      </c>
      <c r="Z195" s="403">
        <v>0</v>
      </c>
      <c r="AA195" s="407">
        <f t="shared" si="48"/>
        <v>0.60097400192578321</v>
      </c>
      <c r="AB195" s="411"/>
      <c r="AC195" s="446"/>
    </row>
    <row r="196" spans="1:29">
      <c r="A196" s="67">
        <v>148</v>
      </c>
      <c r="B196" s="74" t="s">
        <v>167</v>
      </c>
      <c r="C196" s="125" t="s">
        <v>365</v>
      </c>
      <c r="D196" s="387">
        <f t="shared" si="38"/>
        <v>0</v>
      </c>
      <c r="E196" s="104">
        <f t="shared" si="36"/>
        <v>4</v>
      </c>
      <c r="F196" s="83">
        <f t="shared" si="49"/>
        <v>19074.550800000001</v>
      </c>
      <c r="G196" s="83">
        <f t="shared" si="39"/>
        <v>0</v>
      </c>
      <c r="H196" s="483">
        <f t="shared" si="40"/>
        <v>0</v>
      </c>
      <c r="I196" s="83">
        <f>+'Costo adq'!C185*$I$1</f>
        <v>25684.078399999999</v>
      </c>
      <c r="J196" s="83">
        <f t="shared" si="41"/>
        <v>0</v>
      </c>
      <c r="L196" s="54">
        <f>VLOOKUP(A196,'Precios oferta'!$A$30:$U$436,$B$5,FALSE)</f>
        <v>45416.767999999996</v>
      </c>
      <c r="M196" s="48">
        <f>VLOOKUP(A196,'Precios piso'!$A$30:$U$436,$B$5,FALSE)</f>
        <v>25432.734400000001</v>
      </c>
      <c r="N196" s="105">
        <f t="shared" si="42"/>
        <v>0.44001443695861397</v>
      </c>
      <c r="O196" s="131">
        <f t="shared" si="37"/>
        <v>22380.806272000002</v>
      </c>
      <c r="P196" s="388">
        <f t="shared" si="43"/>
        <v>0.50721270452358036</v>
      </c>
      <c r="Q196" s="131">
        <f t="shared" si="44"/>
        <v>20346.187519999999</v>
      </c>
      <c r="R196" s="105">
        <f t="shared" si="45"/>
        <v>0.55201154956689114</v>
      </c>
      <c r="S196" s="131">
        <f t="shared" si="46"/>
        <v>19074.550800000001</v>
      </c>
      <c r="T196" s="94">
        <f t="shared" si="47"/>
        <v>0.58001082771896051</v>
      </c>
      <c r="V196" s="82"/>
      <c r="W196" s="504">
        <v>148</v>
      </c>
      <c r="X196" s="506" t="s">
        <v>801</v>
      </c>
      <c r="Y196" s="508">
        <v>0</v>
      </c>
      <c r="Z196" s="403">
        <v>0</v>
      </c>
      <c r="AA196" s="407">
        <f t="shared" si="48"/>
        <v>0.58001082771896051</v>
      </c>
      <c r="AB196" s="411"/>
      <c r="AC196" s="446">
        <v>0.65851055768842193</v>
      </c>
    </row>
    <row r="197" spans="1:29">
      <c r="A197" s="67">
        <v>149</v>
      </c>
      <c r="B197" s="74" t="s">
        <v>168</v>
      </c>
      <c r="C197" s="125" t="s">
        <v>365</v>
      </c>
      <c r="D197" s="387">
        <f t="shared" si="38"/>
        <v>0</v>
      </c>
      <c r="E197" s="104">
        <f t="shared" si="36"/>
        <v>4</v>
      </c>
      <c r="F197" s="83">
        <f t="shared" si="49"/>
        <v>16451.8308</v>
      </c>
      <c r="G197" s="83">
        <f t="shared" si="39"/>
        <v>0</v>
      </c>
      <c r="H197" s="483">
        <f t="shared" si="40"/>
        <v>0</v>
      </c>
      <c r="I197" s="83">
        <f>+'Costo adq'!C186*$I$1</f>
        <v>27655.489600000001</v>
      </c>
      <c r="J197" s="83">
        <f t="shared" si="41"/>
        <v>0</v>
      </c>
      <c r="L197" s="54">
        <f>VLOOKUP(A197,'Precios oferta'!$A$30:$U$436,$B$5,FALSE)</f>
        <v>38581.303999999996</v>
      </c>
      <c r="M197" s="48">
        <f>VLOOKUP(A197,'Precios piso'!$A$30:$U$436,$B$5,FALSE)</f>
        <v>21935.774399999998</v>
      </c>
      <c r="N197" s="105">
        <f t="shared" si="42"/>
        <v>0.43144030590567906</v>
      </c>
      <c r="O197" s="131">
        <f t="shared" si="37"/>
        <v>19303.481471999999</v>
      </c>
      <c r="P197" s="388">
        <f t="shared" si="43"/>
        <v>0.49966746919699756</v>
      </c>
      <c r="Q197" s="131">
        <f t="shared" si="44"/>
        <v>17548.61952</v>
      </c>
      <c r="R197" s="105">
        <f t="shared" si="45"/>
        <v>0.54515224472454316</v>
      </c>
      <c r="S197" s="131">
        <f t="shared" si="46"/>
        <v>16451.8308</v>
      </c>
      <c r="T197" s="94">
        <f t="shared" si="47"/>
        <v>0.57358022942925935</v>
      </c>
      <c r="V197" s="82"/>
      <c r="W197" s="504">
        <v>149</v>
      </c>
      <c r="X197" s="506" t="s">
        <v>802</v>
      </c>
      <c r="Y197" s="508">
        <v>0</v>
      </c>
      <c r="Z197" s="403">
        <v>0</v>
      </c>
      <c r="AA197" s="407">
        <f t="shared" si="48"/>
        <v>0.57358022942925935</v>
      </c>
      <c r="AB197" s="411"/>
      <c r="AC197" s="446"/>
    </row>
    <row r="198" spans="1:29">
      <c r="A198" s="67">
        <v>150</v>
      </c>
      <c r="B198" s="74" t="s">
        <v>169</v>
      </c>
      <c r="C198" s="125" t="s">
        <v>365</v>
      </c>
      <c r="D198" s="387">
        <f t="shared" si="38"/>
        <v>0</v>
      </c>
      <c r="E198" s="104">
        <f t="shared" si="36"/>
        <v>4</v>
      </c>
      <c r="F198" s="83">
        <f t="shared" si="49"/>
        <v>3843.924</v>
      </c>
      <c r="G198" s="83">
        <f t="shared" si="39"/>
        <v>0</v>
      </c>
      <c r="H198" s="483">
        <f t="shared" si="40"/>
        <v>0</v>
      </c>
      <c r="I198" s="83">
        <f>+'Costo adq'!C187*$I$1</f>
        <v>4125.32</v>
      </c>
      <c r="J198" s="83">
        <f t="shared" si="41"/>
        <v>0</v>
      </c>
      <c r="L198" s="54">
        <f>VLOOKUP(A198,'Precios oferta'!$A$30:$U$436,$B$5,FALSE)</f>
        <v>10074.5232</v>
      </c>
      <c r="M198" s="48">
        <f>VLOOKUP(A198,'Precios piso'!$A$30:$U$436,$B$5,FALSE)</f>
        <v>5125.232</v>
      </c>
      <c r="N198" s="105">
        <f t="shared" si="42"/>
        <v>0.4912680334092635</v>
      </c>
      <c r="O198" s="131">
        <f t="shared" si="37"/>
        <v>4510.2041600000002</v>
      </c>
      <c r="P198" s="388">
        <f t="shared" si="43"/>
        <v>0.55231586940015176</v>
      </c>
      <c r="Q198" s="131">
        <f t="shared" si="44"/>
        <v>4100.1855999999998</v>
      </c>
      <c r="R198" s="105">
        <f t="shared" si="45"/>
        <v>0.59301442672741078</v>
      </c>
      <c r="S198" s="131">
        <f t="shared" si="46"/>
        <v>3843.924</v>
      </c>
      <c r="T198" s="94">
        <f t="shared" si="47"/>
        <v>0.6184510250569476</v>
      </c>
      <c r="V198" s="82"/>
      <c r="W198" s="504">
        <v>150</v>
      </c>
      <c r="X198" s="506" t="s">
        <v>803</v>
      </c>
      <c r="Y198" s="508">
        <v>0</v>
      </c>
      <c r="Z198" s="403">
        <v>0</v>
      </c>
      <c r="AA198" s="407">
        <f t="shared" si="48"/>
        <v>0.6184510250569476</v>
      </c>
      <c r="AB198" s="411"/>
      <c r="AC198" s="446"/>
    </row>
    <row r="199" spans="1:29">
      <c r="A199" s="67">
        <v>151</v>
      </c>
      <c r="B199" s="74" t="s">
        <v>170</v>
      </c>
      <c r="C199" s="125" t="s">
        <v>365</v>
      </c>
      <c r="D199" s="387">
        <f t="shared" si="38"/>
        <v>0</v>
      </c>
      <c r="E199" s="104">
        <f t="shared" si="36"/>
        <v>4</v>
      </c>
      <c r="F199" s="83">
        <f t="shared" si="49"/>
        <v>4352.076</v>
      </c>
      <c r="G199" s="83">
        <f t="shared" si="39"/>
        <v>0</v>
      </c>
      <c r="H199" s="483">
        <f t="shared" si="40"/>
        <v>0</v>
      </c>
      <c r="I199" s="83">
        <f>+'Costo adq'!C188*$I$1</f>
        <v>4742.7520000000004</v>
      </c>
      <c r="J199" s="83">
        <f t="shared" si="41"/>
        <v>0</v>
      </c>
      <c r="L199" s="54">
        <f>VLOOKUP(A199,'Precios oferta'!$A$30:$U$436,$B$5,FALSE)</f>
        <v>11088.641599999999</v>
      </c>
      <c r="M199" s="48">
        <f>VLOOKUP(A199,'Precios piso'!$A$30:$U$436,$B$5,FALSE)</f>
        <v>5802.768</v>
      </c>
      <c r="N199" s="105">
        <f t="shared" si="42"/>
        <v>0.47669261850793332</v>
      </c>
      <c r="O199" s="131">
        <f t="shared" si="37"/>
        <v>5106.4358400000001</v>
      </c>
      <c r="P199" s="388">
        <f t="shared" si="43"/>
        <v>0.53948950428698139</v>
      </c>
      <c r="Q199" s="131">
        <f t="shared" si="44"/>
        <v>4642.2143999999998</v>
      </c>
      <c r="R199" s="105">
        <f t="shared" si="45"/>
        <v>0.5813540948063467</v>
      </c>
      <c r="S199" s="131">
        <f t="shared" si="46"/>
        <v>4352.076</v>
      </c>
      <c r="T199" s="94">
        <f t="shared" si="47"/>
        <v>0.60751946388095002</v>
      </c>
      <c r="V199" s="82"/>
      <c r="W199" s="504">
        <v>151</v>
      </c>
      <c r="X199" s="506" t="s">
        <v>804</v>
      </c>
      <c r="Y199" s="508">
        <v>0</v>
      </c>
      <c r="Z199" s="403">
        <v>0</v>
      </c>
      <c r="AA199" s="407">
        <f t="shared" si="48"/>
        <v>0.60751946388095002</v>
      </c>
      <c r="AB199" s="411"/>
      <c r="AC199" s="446"/>
    </row>
    <row r="200" spans="1:29">
      <c r="A200" s="67">
        <v>152</v>
      </c>
      <c r="B200" s="74" t="s">
        <v>171</v>
      </c>
      <c r="C200" s="125" t="s">
        <v>365</v>
      </c>
      <c r="D200" s="387">
        <f t="shared" si="38"/>
        <v>0</v>
      </c>
      <c r="E200" s="104">
        <f t="shared" si="36"/>
        <v>4</v>
      </c>
      <c r="F200" s="83">
        <f t="shared" si="49"/>
        <v>1436.7588000000001</v>
      </c>
      <c r="G200" s="83">
        <f t="shared" si="39"/>
        <v>0</v>
      </c>
      <c r="H200" s="483">
        <f t="shared" si="40"/>
        <v>0</v>
      </c>
      <c r="I200" s="83">
        <f>+'Costo adq'!C189*$I$1</f>
        <v>15703.536</v>
      </c>
      <c r="J200" s="83">
        <f t="shared" si="41"/>
        <v>0</v>
      </c>
      <c r="L200" s="54">
        <f>VLOOKUP(A200,'Precios oferta'!$A$30:$U$436,$B$5,FALSE)</f>
        <v>40237.988799999999</v>
      </c>
      <c r="M200" s="48">
        <f>VLOOKUP(A200,'Precios piso'!$A$30:$U$436,$B$5,FALSE)</f>
        <v>1915.6784</v>
      </c>
      <c r="N200" s="105">
        <f t="shared" si="42"/>
        <v>0.95239129844382286</v>
      </c>
      <c r="O200" s="131">
        <f t="shared" si="37"/>
        <v>1685.796992</v>
      </c>
      <c r="P200" s="388">
        <f t="shared" si="43"/>
        <v>0.9581043426305641</v>
      </c>
      <c r="Q200" s="131">
        <f t="shared" si="44"/>
        <v>1532.5427199999999</v>
      </c>
      <c r="R200" s="105">
        <f t="shared" si="45"/>
        <v>0.96191303875505829</v>
      </c>
      <c r="S200" s="131">
        <f t="shared" si="46"/>
        <v>1436.7588000000001</v>
      </c>
      <c r="T200" s="94">
        <f t="shared" si="47"/>
        <v>0.96429347383286712</v>
      </c>
      <c r="V200" s="82"/>
      <c r="W200" s="504">
        <v>152</v>
      </c>
      <c r="X200" s="506" t="s">
        <v>805</v>
      </c>
      <c r="Y200" s="508">
        <v>0</v>
      </c>
      <c r="Z200" s="403">
        <v>0</v>
      </c>
      <c r="AA200" s="407">
        <f t="shared" si="48"/>
        <v>0.96429347383286712</v>
      </c>
      <c r="AB200" s="411"/>
      <c r="AC200" s="446"/>
    </row>
    <row r="201" spans="1:29">
      <c r="A201" s="67">
        <v>153</v>
      </c>
      <c r="B201" s="74" t="s">
        <v>172</v>
      </c>
      <c r="C201" s="125" t="s">
        <v>365</v>
      </c>
      <c r="D201" s="387">
        <f t="shared" si="38"/>
        <v>0</v>
      </c>
      <c r="E201" s="104">
        <f t="shared" si="36"/>
        <v>4</v>
      </c>
      <c r="F201" s="83">
        <f t="shared" si="49"/>
        <v>3616.0752000000002</v>
      </c>
      <c r="G201" s="83">
        <f t="shared" si="39"/>
        <v>0</v>
      </c>
      <c r="H201" s="483">
        <f t="shared" si="40"/>
        <v>0</v>
      </c>
      <c r="I201" s="83">
        <f>+'Costo adq'!C190*$I$1</f>
        <v>17445.459200000001</v>
      </c>
      <c r="J201" s="83">
        <f t="shared" si="41"/>
        <v>0</v>
      </c>
      <c r="L201" s="54">
        <f>VLOOKUP(A201,'Precios oferta'!$A$30:$U$436,$B$5,FALSE)</f>
        <v>46282.265599999999</v>
      </c>
      <c r="M201" s="48">
        <f>VLOOKUP(A201,'Precios piso'!$A$30:$U$436,$B$5,FALSE)</f>
        <v>4821.4336000000003</v>
      </c>
      <c r="N201" s="105">
        <f t="shared" si="42"/>
        <v>0.89582546278806197</v>
      </c>
      <c r="O201" s="131">
        <f t="shared" si="37"/>
        <v>4242.8615680000003</v>
      </c>
      <c r="P201" s="388">
        <f t="shared" si="43"/>
        <v>0.90832640725349456</v>
      </c>
      <c r="Q201" s="131">
        <f t="shared" si="44"/>
        <v>3857.1468800000002</v>
      </c>
      <c r="R201" s="105">
        <f t="shared" si="45"/>
        <v>0.91666037023044955</v>
      </c>
      <c r="S201" s="131">
        <f t="shared" si="46"/>
        <v>3616.0752000000002</v>
      </c>
      <c r="T201" s="94">
        <f t="shared" si="47"/>
        <v>0.92186909709104647</v>
      </c>
      <c r="V201" s="82"/>
      <c r="W201" s="504">
        <v>153</v>
      </c>
      <c r="X201" s="506" t="s">
        <v>806</v>
      </c>
      <c r="Y201" s="508">
        <v>0</v>
      </c>
      <c r="Z201" s="403">
        <v>0</v>
      </c>
      <c r="AA201" s="407">
        <f t="shared" si="48"/>
        <v>0.92186909709104647</v>
      </c>
      <c r="AB201" s="411"/>
      <c r="AC201" s="446"/>
    </row>
    <row r="202" spans="1:29">
      <c r="A202" s="67">
        <v>154</v>
      </c>
      <c r="B202" s="74" t="s">
        <v>173</v>
      </c>
      <c r="C202" s="125" t="s">
        <v>365</v>
      </c>
      <c r="D202" s="387">
        <f t="shared" si="38"/>
        <v>0</v>
      </c>
      <c r="E202" s="104">
        <f t="shared" si="36"/>
        <v>4</v>
      </c>
      <c r="F202" s="83">
        <f t="shared" si="49"/>
        <v>2084.2428</v>
      </c>
      <c r="G202" s="83">
        <f t="shared" si="39"/>
        <v>0</v>
      </c>
      <c r="H202" s="483">
        <f t="shared" si="40"/>
        <v>0</v>
      </c>
      <c r="I202" s="83">
        <f>+'Costo adq'!C191*$I$1</f>
        <v>3547.2287999999999</v>
      </c>
      <c r="J202" s="83">
        <f t="shared" si="41"/>
        <v>0</v>
      </c>
      <c r="L202" s="54">
        <f>VLOOKUP(A202,'Precios oferta'!$A$30:$U$436,$B$5,FALSE)</f>
        <v>8035.3584000000001</v>
      </c>
      <c r="M202" s="48">
        <f>VLOOKUP(A202,'Precios piso'!$A$30:$U$436,$B$5,FALSE)</f>
        <v>2778.9904000000001</v>
      </c>
      <c r="N202" s="105">
        <f t="shared" si="42"/>
        <v>0.6541547667618659</v>
      </c>
      <c r="O202" s="131">
        <f t="shared" si="37"/>
        <v>2445.5115519999999</v>
      </c>
      <c r="P202" s="388">
        <f t="shared" si="43"/>
        <v>0.69565619475044205</v>
      </c>
      <c r="Q202" s="131">
        <f t="shared" si="44"/>
        <v>2223.1923200000001</v>
      </c>
      <c r="R202" s="105">
        <f t="shared" si="45"/>
        <v>0.7233238134094927</v>
      </c>
      <c r="S202" s="131">
        <f t="shared" si="46"/>
        <v>2084.2428</v>
      </c>
      <c r="T202" s="94">
        <f t="shared" si="47"/>
        <v>0.74061607507139948</v>
      </c>
      <c r="V202" s="82"/>
      <c r="W202" s="504">
        <v>154</v>
      </c>
      <c r="X202" s="506" t="s">
        <v>807</v>
      </c>
      <c r="Y202" s="508">
        <v>0</v>
      </c>
      <c r="Z202" s="403">
        <v>0</v>
      </c>
      <c r="AA202" s="407">
        <f t="shared" si="48"/>
        <v>0.74061607507139948</v>
      </c>
      <c r="AB202" s="411"/>
      <c r="AC202" s="446"/>
    </row>
    <row r="203" spans="1:29">
      <c r="A203" s="67">
        <v>155</v>
      </c>
      <c r="B203" s="74" t="s">
        <v>174</v>
      </c>
      <c r="C203" s="125" t="s">
        <v>365</v>
      </c>
      <c r="D203" s="387">
        <f t="shared" si="38"/>
        <v>12</v>
      </c>
      <c r="E203" s="104">
        <f t="shared" si="36"/>
        <v>4</v>
      </c>
      <c r="F203" s="83">
        <f t="shared" si="49"/>
        <v>3510.3468000000003</v>
      </c>
      <c r="G203" s="83">
        <f t="shared" si="39"/>
        <v>168496.64640000003</v>
      </c>
      <c r="H203" s="483">
        <f t="shared" si="40"/>
        <v>0</v>
      </c>
      <c r="I203" s="83">
        <f>+'Costo adq'!C192*$I$1</f>
        <v>4681.5551999999998</v>
      </c>
      <c r="J203" s="83">
        <f t="shared" si="41"/>
        <v>224714.6496</v>
      </c>
      <c r="L203" s="54">
        <f>VLOOKUP(A203,'Precios oferta'!$A$30:$U$436,$B$5,FALSE)</f>
        <v>10914.886399999999</v>
      </c>
      <c r="M203" s="48">
        <f>VLOOKUP(A203,'Precios piso'!$A$30:$U$436,$B$5,FALSE)</f>
        <v>4680.4624000000003</v>
      </c>
      <c r="N203" s="105">
        <f t="shared" si="42"/>
        <v>0.57118542250700832</v>
      </c>
      <c r="O203" s="131">
        <f t="shared" si="37"/>
        <v>4118.806912</v>
      </c>
      <c r="P203" s="388">
        <f t="shared" si="43"/>
        <v>0.62264317180616735</v>
      </c>
      <c r="Q203" s="131">
        <f t="shared" si="44"/>
        <v>3744.3699200000001</v>
      </c>
      <c r="R203" s="105">
        <f t="shared" si="45"/>
        <v>0.6569483380056067</v>
      </c>
      <c r="S203" s="131">
        <f t="shared" si="46"/>
        <v>3510.3468000000003</v>
      </c>
      <c r="T203" s="94">
        <f t="shared" si="47"/>
        <v>0.67838906688025624</v>
      </c>
      <c r="V203" s="82"/>
      <c r="W203" s="504">
        <v>155</v>
      </c>
      <c r="X203" s="506" t="s">
        <v>808</v>
      </c>
      <c r="Y203" s="508">
        <v>12</v>
      </c>
      <c r="Z203" s="403">
        <v>0</v>
      </c>
      <c r="AA203" s="407">
        <f t="shared" si="48"/>
        <v>0.67838906688025624</v>
      </c>
      <c r="AB203" s="411"/>
      <c r="AC203" s="446">
        <v>0.64027296587926508</v>
      </c>
    </row>
    <row r="204" spans="1:29">
      <c r="A204" s="67">
        <v>156</v>
      </c>
      <c r="B204" s="74" t="s">
        <v>175</v>
      </c>
      <c r="C204" s="125" t="s">
        <v>365</v>
      </c>
      <c r="D204" s="387">
        <f t="shared" si="38"/>
        <v>24</v>
      </c>
      <c r="E204" s="104">
        <f t="shared" si="36"/>
        <v>4</v>
      </c>
      <c r="F204" s="83">
        <f t="shared" si="49"/>
        <v>4006.2047999999995</v>
      </c>
      <c r="G204" s="83">
        <f t="shared" si="39"/>
        <v>384595.66079999995</v>
      </c>
      <c r="H204" s="483">
        <f t="shared" si="40"/>
        <v>0</v>
      </c>
      <c r="I204" s="83">
        <f>+'Costo adq'!C193*$I$1</f>
        <v>6112.0303999999996</v>
      </c>
      <c r="J204" s="83">
        <f t="shared" si="41"/>
        <v>586754.91839999997</v>
      </c>
      <c r="L204" s="54">
        <f>VLOOKUP(A204,'Precios oferta'!$A$30:$U$436,$B$5,FALSE)</f>
        <v>13857.7968</v>
      </c>
      <c r="M204" s="48">
        <f>VLOOKUP(A204,'Precios piso'!$A$30:$U$436,$B$5,FALSE)</f>
        <v>5341.6063999999997</v>
      </c>
      <c r="N204" s="105">
        <f t="shared" si="42"/>
        <v>0.61454143994953081</v>
      </c>
      <c r="O204" s="131">
        <f t="shared" si="37"/>
        <v>4700.6136319999996</v>
      </c>
      <c r="P204" s="388">
        <f t="shared" si="43"/>
        <v>0.66079646715558715</v>
      </c>
      <c r="Q204" s="131">
        <f t="shared" si="44"/>
        <v>4273.2851199999996</v>
      </c>
      <c r="R204" s="105">
        <f t="shared" si="45"/>
        <v>0.6916331519596246</v>
      </c>
      <c r="S204" s="131">
        <f t="shared" si="46"/>
        <v>4006.2047999999995</v>
      </c>
      <c r="T204" s="94">
        <f t="shared" si="47"/>
        <v>0.71090607996214805</v>
      </c>
      <c r="V204" s="82"/>
      <c r="W204" s="504">
        <v>156</v>
      </c>
      <c r="X204" s="506" t="s">
        <v>809</v>
      </c>
      <c r="Y204" s="508">
        <v>24</v>
      </c>
      <c r="Z204" s="403">
        <v>0</v>
      </c>
      <c r="AA204" s="407">
        <f t="shared" si="48"/>
        <v>0.71090607996214805</v>
      </c>
      <c r="AB204" s="411"/>
      <c r="AC204" s="446"/>
    </row>
    <row r="205" spans="1:29">
      <c r="A205" s="67">
        <v>157</v>
      </c>
      <c r="B205" s="74" t="s">
        <v>176</v>
      </c>
      <c r="C205" s="125" t="s">
        <v>365</v>
      </c>
      <c r="D205" s="387">
        <f t="shared" si="38"/>
        <v>0</v>
      </c>
      <c r="E205" s="104">
        <f t="shared" si="36"/>
        <v>4</v>
      </c>
      <c r="F205" s="83">
        <f t="shared" si="49"/>
        <v>5974.0644000000002</v>
      </c>
      <c r="G205" s="83">
        <f t="shared" si="39"/>
        <v>0</v>
      </c>
      <c r="H205" s="483">
        <f t="shared" si="40"/>
        <v>0</v>
      </c>
      <c r="I205" s="83">
        <f>+'Costo adq'!C194*$I$1</f>
        <v>8062.6783999999998</v>
      </c>
      <c r="J205" s="83">
        <f t="shared" si="41"/>
        <v>0</v>
      </c>
      <c r="L205" s="54">
        <f>VLOOKUP(A205,'Precios oferta'!$A$30:$U$436,$B$5,FALSE)</f>
        <v>15365.8608</v>
      </c>
      <c r="M205" s="48">
        <f>VLOOKUP(A205,'Precios piso'!$A$30:$U$436,$B$5,FALSE)</f>
        <v>7965.4192000000003</v>
      </c>
      <c r="N205" s="105">
        <f t="shared" si="42"/>
        <v>0.48161581679823628</v>
      </c>
      <c r="O205" s="131">
        <f t="shared" si="37"/>
        <v>7009.5688960000007</v>
      </c>
      <c r="P205" s="388">
        <f t="shared" si="43"/>
        <v>0.5438219187824479</v>
      </c>
      <c r="Q205" s="131">
        <f t="shared" si="44"/>
        <v>6372.33536</v>
      </c>
      <c r="R205" s="105">
        <f t="shared" si="45"/>
        <v>0.58529265343858894</v>
      </c>
      <c r="S205" s="131">
        <f t="shared" si="46"/>
        <v>5974.0644000000002</v>
      </c>
      <c r="T205" s="94">
        <f t="shared" si="47"/>
        <v>0.61121186259867721</v>
      </c>
      <c r="V205" s="82"/>
      <c r="W205" s="504">
        <v>157</v>
      </c>
      <c r="X205" s="506" t="s">
        <v>810</v>
      </c>
      <c r="Y205" s="508">
        <v>0</v>
      </c>
      <c r="Z205" s="403">
        <v>0</v>
      </c>
      <c r="AA205" s="407">
        <f t="shared" si="48"/>
        <v>0.61121186259867721</v>
      </c>
      <c r="AB205" s="411"/>
      <c r="AC205" s="446"/>
    </row>
    <row r="206" spans="1:29">
      <c r="A206" s="67">
        <v>158</v>
      </c>
      <c r="B206" s="74" t="s">
        <v>177</v>
      </c>
      <c r="C206" s="125" t="s">
        <v>365</v>
      </c>
      <c r="D206" s="387">
        <f t="shared" si="38"/>
        <v>0</v>
      </c>
      <c r="E206" s="104">
        <f t="shared" si="36"/>
        <v>4</v>
      </c>
      <c r="F206" s="83">
        <f t="shared" si="49"/>
        <v>6104.3807999999999</v>
      </c>
      <c r="G206" s="83">
        <f t="shared" si="39"/>
        <v>0</v>
      </c>
      <c r="H206" s="483">
        <f t="shared" si="40"/>
        <v>0</v>
      </c>
      <c r="I206" s="83">
        <f>+'Costo adq'!C195*$I$1</f>
        <v>9355.4608000000007</v>
      </c>
      <c r="J206" s="83">
        <f t="shared" si="41"/>
        <v>0</v>
      </c>
      <c r="L206" s="54">
        <f>VLOOKUP(A206,'Precios oferta'!$A$30:$U$436,$B$5,FALSE)</f>
        <v>17071.721600000001</v>
      </c>
      <c r="M206" s="48">
        <f>VLOOKUP(A206,'Precios piso'!$A$30:$U$436,$B$5,FALSE)</f>
        <v>8139.1743999999999</v>
      </c>
      <c r="N206" s="105">
        <f t="shared" si="42"/>
        <v>0.52323646140058888</v>
      </c>
      <c r="O206" s="131">
        <f t="shared" si="37"/>
        <v>7162.4734719999997</v>
      </c>
      <c r="P206" s="388">
        <f t="shared" si="43"/>
        <v>0.5804480860325183</v>
      </c>
      <c r="Q206" s="131">
        <f t="shared" si="44"/>
        <v>6511.3395199999995</v>
      </c>
      <c r="R206" s="105">
        <f t="shared" si="45"/>
        <v>0.61858916912047124</v>
      </c>
      <c r="S206" s="131">
        <f t="shared" si="46"/>
        <v>6104.3807999999999</v>
      </c>
      <c r="T206" s="94">
        <f t="shared" si="47"/>
        <v>0.64242734605044172</v>
      </c>
      <c r="V206" s="82"/>
      <c r="W206" s="504">
        <v>158</v>
      </c>
      <c r="X206" s="506" t="s">
        <v>811</v>
      </c>
      <c r="Y206" s="508">
        <v>0</v>
      </c>
      <c r="Z206" s="403">
        <v>0</v>
      </c>
      <c r="AA206" s="407">
        <f t="shared" si="48"/>
        <v>0.64242734605044172</v>
      </c>
      <c r="AB206" s="411"/>
      <c r="AC206" s="446"/>
    </row>
    <row r="207" spans="1:29">
      <c r="A207" s="67">
        <v>159</v>
      </c>
      <c r="B207" s="74" t="s">
        <v>178</v>
      </c>
      <c r="C207" s="125" t="s">
        <v>365</v>
      </c>
      <c r="D207" s="387">
        <f t="shared" si="38"/>
        <v>17</v>
      </c>
      <c r="E207" s="104">
        <f t="shared" si="36"/>
        <v>4</v>
      </c>
      <c r="F207" s="83">
        <f t="shared" si="49"/>
        <v>1745.7479999999998</v>
      </c>
      <c r="G207" s="83">
        <f t="shared" si="39"/>
        <v>118710.86399999999</v>
      </c>
      <c r="H207" s="483">
        <f t="shared" si="40"/>
        <v>0</v>
      </c>
      <c r="I207" s="83">
        <f>+'Costo adq'!C196*$I$1</f>
        <v>4043.3551916799997</v>
      </c>
      <c r="J207" s="83">
        <f t="shared" si="41"/>
        <v>274948.15303424001</v>
      </c>
      <c r="L207" s="54">
        <f>VLOOKUP(A207,'Precios oferta'!$A$30:$U$436,$B$5,FALSE)</f>
        <v>8270.3104000000003</v>
      </c>
      <c r="M207" s="48">
        <f>VLOOKUP(A207,'Precios piso'!$A$30:$U$436,$B$5,FALSE)</f>
        <v>2327.6639999999998</v>
      </c>
      <c r="N207" s="105">
        <f t="shared" si="42"/>
        <v>0.71855179704016914</v>
      </c>
      <c r="O207" s="131">
        <f t="shared" si="37"/>
        <v>2048.3443199999997</v>
      </c>
      <c r="P207" s="388">
        <f t="shared" si="43"/>
        <v>0.75232558139534889</v>
      </c>
      <c r="Q207" s="131">
        <f t="shared" si="44"/>
        <v>1862.1311999999998</v>
      </c>
      <c r="R207" s="105">
        <f t="shared" si="45"/>
        <v>0.77484143763213531</v>
      </c>
      <c r="S207" s="131">
        <f t="shared" si="46"/>
        <v>1745.7479999999998</v>
      </c>
      <c r="T207" s="94">
        <f t="shared" si="47"/>
        <v>0.78891384778012685</v>
      </c>
      <c r="V207" s="82"/>
      <c r="W207" s="504">
        <v>159</v>
      </c>
      <c r="X207" s="506" t="s">
        <v>812</v>
      </c>
      <c r="Y207" s="508">
        <v>17</v>
      </c>
      <c r="Z207" s="403">
        <v>0</v>
      </c>
      <c r="AA207" s="407">
        <f t="shared" si="48"/>
        <v>0.78891384778012685</v>
      </c>
      <c r="AB207" s="411"/>
      <c r="AC207" s="446">
        <v>0.75313658201784484</v>
      </c>
    </row>
    <row r="208" spans="1:29">
      <c r="A208" s="67">
        <v>160</v>
      </c>
      <c r="B208" s="74" t="s">
        <v>179</v>
      </c>
      <c r="C208" s="125" t="s">
        <v>365</v>
      </c>
      <c r="D208" s="387">
        <f t="shared" si="38"/>
        <v>10</v>
      </c>
      <c r="E208" s="104">
        <f t="shared" si="36"/>
        <v>4</v>
      </c>
      <c r="F208" s="83">
        <f t="shared" si="49"/>
        <v>1432.6608000000001</v>
      </c>
      <c r="G208" s="83">
        <f t="shared" si="39"/>
        <v>57306.432000000001</v>
      </c>
      <c r="H208" s="483">
        <f t="shared" si="40"/>
        <v>0</v>
      </c>
      <c r="I208" s="83">
        <f>+'Costo adq'!C197*$I$1</f>
        <v>2400.8816000000002</v>
      </c>
      <c r="J208" s="83">
        <f t="shared" si="41"/>
        <v>96035.26400000001</v>
      </c>
      <c r="L208" s="54">
        <f>VLOOKUP(A208,'Precios oferta'!$A$30:$U$436,$B$5,FALSE)</f>
        <v>4647.6783999999998</v>
      </c>
      <c r="M208" s="48">
        <f>VLOOKUP(A208,'Precios piso'!$A$30:$U$436,$B$5,FALSE)</f>
        <v>1910.2144000000001</v>
      </c>
      <c r="N208" s="105">
        <f t="shared" si="42"/>
        <v>0.58899600282153775</v>
      </c>
      <c r="O208" s="131">
        <f t="shared" si="37"/>
        <v>1680.988672</v>
      </c>
      <c r="P208" s="388">
        <f t="shared" si="43"/>
        <v>0.63831648248295325</v>
      </c>
      <c r="Q208" s="131">
        <f t="shared" si="44"/>
        <v>1528.1715200000001</v>
      </c>
      <c r="R208" s="105">
        <f t="shared" si="45"/>
        <v>0.67119680225723011</v>
      </c>
      <c r="S208" s="131">
        <f t="shared" si="46"/>
        <v>1432.6608000000001</v>
      </c>
      <c r="T208" s="94">
        <f t="shared" si="47"/>
        <v>0.69174700211615325</v>
      </c>
      <c r="V208" s="82"/>
      <c r="W208" s="504">
        <v>160</v>
      </c>
      <c r="X208" s="506" t="s">
        <v>813</v>
      </c>
      <c r="Y208" s="508">
        <v>10</v>
      </c>
      <c r="Z208" s="403">
        <v>0</v>
      </c>
      <c r="AA208" s="407">
        <f t="shared" si="48"/>
        <v>0.69174700211615325</v>
      </c>
      <c r="AB208" s="411"/>
      <c r="AC208" s="446">
        <v>0.66893827160493835</v>
      </c>
    </row>
    <row r="209" spans="1:29">
      <c r="A209" s="67">
        <v>161</v>
      </c>
      <c r="B209" s="74" t="s">
        <v>180</v>
      </c>
      <c r="C209" s="125" t="s">
        <v>365</v>
      </c>
      <c r="D209" s="387">
        <f t="shared" si="38"/>
        <v>0</v>
      </c>
      <c r="E209" s="104">
        <f t="shared" si="36"/>
        <v>4</v>
      </c>
      <c r="F209" s="83">
        <f t="shared" si="49"/>
        <v>1853.9351999999999</v>
      </c>
      <c r="G209" s="83">
        <f t="shared" si="39"/>
        <v>0</v>
      </c>
      <c r="H209" s="483">
        <f t="shared" si="40"/>
        <v>0</v>
      </c>
      <c r="I209" s="83">
        <f>+'Costo adq'!C198*$I$1</f>
        <v>3109.0160000000001</v>
      </c>
      <c r="J209" s="83">
        <f t="shared" si="41"/>
        <v>0</v>
      </c>
      <c r="L209" s="54">
        <f>VLOOKUP(A209,'Precios oferta'!$A$30:$U$436,$B$5,FALSE)</f>
        <v>4784.2784000000001</v>
      </c>
      <c r="M209" s="48">
        <f>VLOOKUP(A209,'Precios piso'!$A$30:$U$436,$B$5,FALSE)</f>
        <v>2471.9135999999999</v>
      </c>
      <c r="N209" s="105">
        <f t="shared" si="42"/>
        <v>0.48332571950662406</v>
      </c>
      <c r="O209" s="131">
        <f t="shared" si="37"/>
        <v>2175.2839679999997</v>
      </c>
      <c r="P209" s="388">
        <f t="shared" si="43"/>
        <v>0.54532663316582919</v>
      </c>
      <c r="Q209" s="131">
        <f t="shared" si="44"/>
        <v>1977.5308799999998</v>
      </c>
      <c r="R209" s="105">
        <f t="shared" si="45"/>
        <v>0.58666057560529927</v>
      </c>
      <c r="S209" s="131">
        <f t="shared" si="46"/>
        <v>1853.9351999999999</v>
      </c>
      <c r="T209" s="94">
        <f t="shared" si="47"/>
        <v>0.6124942896299681</v>
      </c>
      <c r="V209" s="82"/>
      <c r="W209" s="504">
        <v>161</v>
      </c>
      <c r="X209" s="506" t="s">
        <v>814</v>
      </c>
      <c r="Y209" s="508">
        <v>0</v>
      </c>
      <c r="Z209" s="403">
        <v>0</v>
      </c>
      <c r="AA209" s="407">
        <f t="shared" si="48"/>
        <v>0.6124942896299681</v>
      </c>
      <c r="AB209" s="411"/>
      <c r="AC209" s="446"/>
    </row>
    <row r="210" spans="1:29">
      <c r="A210" s="67">
        <v>162</v>
      </c>
      <c r="B210" s="74" t="s">
        <v>181</v>
      </c>
      <c r="C210" s="125" t="s">
        <v>365</v>
      </c>
      <c r="D210" s="387">
        <f t="shared" si="38"/>
        <v>0</v>
      </c>
      <c r="E210" s="104">
        <f t="shared" si="36"/>
        <v>4</v>
      </c>
      <c r="F210" s="83">
        <f t="shared" si="49"/>
        <v>1853.9351999999999</v>
      </c>
      <c r="G210" s="83">
        <f t="shared" si="39"/>
        <v>0</v>
      </c>
      <c r="H210" s="483">
        <f t="shared" si="40"/>
        <v>0</v>
      </c>
      <c r="I210" s="83">
        <f>+'Costo adq'!C199*$I$1</f>
        <v>3504.6095999999998</v>
      </c>
      <c r="J210" s="83">
        <f t="shared" si="41"/>
        <v>0</v>
      </c>
      <c r="L210" s="54">
        <f>VLOOKUP(A210,'Precios oferta'!$A$30:$U$436,$B$5,FALSE)</f>
        <v>5093.5407999999998</v>
      </c>
      <c r="M210" s="48">
        <f>VLOOKUP(A210,'Precios piso'!$A$30:$U$436,$B$5,FALSE)</f>
        <v>2471.9135999999999</v>
      </c>
      <c r="N210" s="105">
        <f t="shared" si="42"/>
        <v>0.51469641707788027</v>
      </c>
      <c r="O210" s="131">
        <f t="shared" si="37"/>
        <v>2175.2839679999997</v>
      </c>
      <c r="P210" s="388">
        <f t="shared" si="43"/>
        <v>0.57293284702853464</v>
      </c>
      <c r="Q210" s="131">
        <f t="shared" si="44"/>
        <v>1977.5308799999998</v>
      </c>
      <c r="R210" s="105">
        <f t="shared" si="45"/>
        <v>0.61175713366230422</v>
      </c>
      <c r="S210" s="131">
        <f t="shared" si="46"/>
        <v>1853.9351999999999</v>
      </c>
      <c r="T210" s="94">
        <f t="shared" si="47"/>
        <v>0.63602231280841015</v>
      </c>
      <c r="V210" s="82"/>
      <c r="W210" s="504">
        <v>162</v>
      </c>
      <c r="X210" s="506" t="s">
        <v>815</v>
      </c>
      <c r="Y210" s="508">
        <v>0</v>
      </c>
      <c r="Z210" s="403">
        <v>0</v>
      </c>
      <c r="AA210" s="407">
        <f t="shared" si="48"/>
        <v>0.63602231280841015</v>
      </c>
      <c r="AB210" s="411"/>
      <c r="AC210" s="446"/>
    </row>
    <row r="211" spans="1:29">
      <c r="A211" s="67">
        <v>163</v>
      </c>
      <c r="B211" s="74" t="s">
        <v>182</v>
      </c>
      <c r="C211" s="125" t="s">
        <v>365</v>
      </c>
      <c r="D211" s="387">
        <f t="shared" si="38"/>
        <v>13</v>
      </c>
      <c r="E211" s="104">
        <f t="shared" si="36"/>
        <v>4</v>
      </c>
      <c r="F211" s="83">
        <f t="shared" si="49"/>
        <v>1853.9351999999999</v>
      </c>
      <c r="G211" s="83">
        <f t="shared" si="39"/>
        <v>96404.630399999995</v>
      </c>
      <c r="H211" s="483">
        <f t="shared" si="40"/>
        <v>0</v>
      </c>
      <c r="I211" s="83">
        <f>+'Costo adq'!C200*$I$1</f>
        <v>6218.0320000000002</v>
      </c>
      <c r="J211" s="83">
        <f t="shared" si="41"/>
        <v>323337.66399999999</v>
      </c>
      <c r="L211" s="54">
        <f>VLOOKUP(A211,'Precios oferta'!$A$30:$U$436,$B$5,FALSE)</f>
        <v>6490.1391999999996</v>
      </c>
      <c r="M211" s="48">
        <f>VLOOKUP(A211,'Precios piso'!$A$30:$U$436,$B$5,FALSE)</f>
        <v>2471.9135999999999</v>
      </c>
      <c r="N211" s="105">
        <f t="shared" si="42"/>
        <v>0.61912779929281025</v>
      </c>
      <c r="O211" s="131">
        <f t="shared" si="37"/>
        <v>2175.2839679999997</v>
      </c>
      <c r="P211" s="388">
        <f t="shared" si="43"/>
        <v>0.66483246337767299</v>
      </c>
      <c r="Q211" s="131">
        <f t="shared" si="44"/>
        <v>1977.5308799999998</v>
      </c>
      <c r="R211" s="105">
        <f t="shared" si="45"/>
        <v>0.69530223943424818</v>
      </c>
      <c r="S211" s="131">
        <f t="shared" si="46"/>
        <v>1853.9351999999999</v>
      </c>
      <c r="T211" s="94">
        <f t="shared" si="47"/>
        <v>0.71434584946960766</v>
      </c>
      <c r="V211" s="82"/>
      <c r="W211" s="504">
        <v>163</v>
      </c>
      <c r="X211" s="506" t="s">
        <v>816</v>
      </c>
      <c r="Y211" s="508">
        <v>13</v>
      </c>
      <c r="Z211" s="403">
        <v>0</v>
      </c>
      <c r="AA211" s="407">
        <f t="shared" si="48"/>
        <v>0.71434584946960766</v>
      </c>
      <c r="AB211" s="411"/>
      <c r="AC211" s="446"/>
    </row>
    <row r="212" spans="1:29">
      <c r="A212" s="67">
        <v>164</v>
      </c>
      <c r="B212" s="74" t="s">
        <v>183</v>
      </c>
      <c r="C212" s="125" t="s">
        <v>365</v>
      </c>
      <c r="D212" s="387">
        <f t="shared" si="38"/>
        <v>4</v>
      </c>
      <c r="E212" s="104">
        <f t="shared" si="36"/>
        <v>4</v>
      </c>
      <c r="F212" s="83">
        <f t="shared" si="49"/>
        <v>1150.7184000000002</v>
      </c>
      <c r="G212" s="83">
        <f t="shared" si="39"/>
        <v>18411.494400000003</v>
      </c>
      <c r="H212" s="483">
        <f t="shared" si="40"/>
        <v>0</v>
      </c>
      <c r="I212" s="83">
        <f>+'Costo adq'!C201*$I$1</f>
        <v>2600.864</v>
      </c>
      <c r="J212" s="83">
        <f t="shared" si="41"/>
        <v>41613.824000000001</v>
      </c>
      <c r="L212" s="54">
        <f>VLOOKUP(A212,'Precios oferta'!$A$30:$U$436,$B$5,FALSE)</f>
        <v>16131.9136</v>
      </c>
      <c r="M212" s="48">
        <f>VLOOKUP(A212,'Precios piso'!$A$30:$U$436,$B$5,FALSE)</f>
        <v>1534.2912000000001</v>
      </c>
      <c r="N212" s="105">
        <f t="shared" si="42"/>
        <v>0.90489093618750849</v>
      </c>
      <c r="O212" s="131">
        <f t="shared" si="37"/>
        <v>1350.1762560000002</v>
      </c>
      <c r="P212" s="388">
        <f t="shared" si="43"/>
        <v>0.91630402384500742</v>
      </c>
      <c r="Q212" s="131">
        <f t="shared" si="44"/>
        <v>1227.4329600000001</v>
      </c>
      <c r="R212" s="105">
        <f t="shared" si="45"/>
        <v>0.92391274895000675</v>
      </c>
      <c r="S212" s="131">
        <f t="shared" si="46"/>
        <v>1150.7184000000002</v>
      </c>
      <c r="T212" s="94">
        <f t="shared" si="47"/>
        <v>0.92866820214063139</v>
      </c>
      <c r="V212" s="82"/>
      <c r="W212" s="504">
        <v>164</v>
      </c>
      <c r="X212" s="506" t="s">
        <v>817</v>
      </c>
      <c r="Y212" s="508">
        <v>4</v>
      </c>
      <c r="Z212" s="403">
        <v>0</v>
      </c>
      <c r="AA212" s="407">
        <f t="shared" si="48"/>
        <v>0.92866820214063139</v>
      </c>
      <c r="AB212" s="411"/>
      <c r="AC212" s="446"/>
    </row>
    <row r="213" spans="1:29">
      <c r="A213" s="67">
        <v>165</v>
      </c>
      <c r="B213" s="74" t="s">
        <v>184</v>
      </c>
      <c r="C213" s="125" t="s">
        <v>365</v>
      </c>
      <c r="D213" s="387">
        <f t="shared" si="38"/>
        <v>0</v>
      </c>
      <c r="E213" s="104">
        <f t="shared" si="36"/>
        <v>4</v>
      </c>
      <c r="F213" s="83">
        <f t="shared" si="49"/>
        <v>7888.6500000000005</v>
      </c>
      <c r="G213" s="83">
        <f t="shared" si="39"/>
        <v>0</v>
      </c>
      <c r="H213" s="483">
        <f t="shared" si="40"/>
        <v>0</v>
      </c>
      <c r="I213" s="83">
        <f>+'Costo adq'!C202*$I$1</f>
        <v>9288.7999999999993</v>
      </c>
      <c r="J213" s="83">
        <f t="shared" si="41"/>
        <v>0</v>
      </c>
      <c r="L213" s="54">
        <f>VLOOKUP(A213,'Precios oferta'!$A$30:$U$436,$B$5,FALSE)</f>
        <v>24179.292799999999</v>
      </c>
      <c r="M213" s="48">
        <f>VLOOKUP(A213,'Precios piso'!$A$30:$U$436,$B$5,FALSE)</f>
        <v>10518.2</v>
      </c>
      <c r="N213" s="105">
        <f t="shared" si="42"/>
        <v>0.56499141281749976</v>
      </c>
      <c r="O213" s="131">
        <f t="shared" si="37"/>
        <v>9256.0160000000014</v>
      </c>
      <c r="P213" s="388">
        <f t="shared" si="43"/>
        <v>0.61719244327939971</v>
      </c>
      <c r="Q213" s="131">
        <f t="shared" si="44"/>
        <v>8414.5600000000013</v>
      </c>
      <c r="R213" s="105">
        <f t="shared" si="45"/>
        <v>0.65199313025399974</v>
      </c>
      <c r="S213" s="131">
        <f t="shared" si="46"/>
        <v>7888.6500000000005</v>
      </c>
      <c r="T213" s="94">
        <f t="shared" si="47"/>
        <v>0.67374355961312482</v>
      </c>
      <c r="V213" s="82"/>
      <c r="W213" s="504">
        <v>165</v>
      </c>
      <c r="X213" s="506" t="s">
        <v>818</v>
      </c>
      <c r="Y213" s="508">
        <v>0</v>
      </c>
      <c r="Z213" s="403">
        <v>0</v>
      </c>
      <c r="AA213" s="407">
        <f t="shared" si="48"/>
        <v>0.67374355961312482</v>
      </c>
      <c r="AB213" s="411"/>
      <c r="AC213" s="446"/>
    </row>
    <row r="214" spans="1:29">
      <c r="A214" s="67">
        <v>166</v>
      </c>
      <c r="B214" s="74" t="s">
        <v>185</v>
      </c>
      <c r="C214" s="125" t="s">
        <v>365</v>
      </c>
      <c r="D214" s="387">
        <f t="shared" si="38"/>
        <v>0</v>
      </c>
      <c r="E214" s="104">
        <f t="shared" si="36"/>
        <v>4</v>
      </c>
      <c r="F214" s="83">
        <f t="shared" si="49"/>
        <v>11866.9884</v>
      </c>
      <c r="G214" s="83">
        <f t="shared" si="39"/>
        <v>0</v>
      </c>
      <c r="H214" s="483">
        <f t="shared" si="40"/>
        <v>0</v>
      </c>
      <c r="I214" s="83">
        <f>+'Costo adq'!C203*$I$1</f>
        <v>27319.995628800003</v>
      </c>
      <c r="J214" s="83">
        <f t="shared" si="41"/>
        <v>0</v>
      </c>
      <c r="L214" s="54">
        <f>VLOOKUP(A214,'Precios oferta'!$A$30:$U$436,$B$5,FALSE)</f>
        <v>52958.180800000002</v>
      </c>
      <c r="M214" s="48">
        <f>VLOOKUP(A214,'Precios piso'!$A$30:$U$436,$B$5,FALSE)</f>
        <v>15822.6512</v>
      </c>
      <c r="N214" s="105">
        <f t="shared" si="42"/>
        <v>0.70122366438992179</v>
      </c>
      <c r="O214" s="131">
        <f t="shared" si="37"/>
        <v>13923.933056</v>
      </c>
      <c r="P214" s="388">
        <f t="shared" si="43"/>
        <v>0.73707682466313118</v>
      </c>
      <c r="Q214" s="131">
        <f t="shared" si="44"/>
        <v>12658.12096</v>
      </c>
      <c r="R214" s="105">
        <f t="shared" si="45"/>
        <v>0.76097893151193741</v>
      </c>
      <c r="S214" s="131">
        <f t="shared" si="46"/>
        <v>11866.9884</v>
      </c>
      <c r="T214" s="94">
        <f t="shared" si="47"/>
        <v>0.77591774829244131</v>
      </c>
      <c r="V214" s="82"/>
      <c r="W214" s="504">
        <v>166</v>
      </c>
      <c r="X214" s="506" t="s">
        <v>819</v>
      </c>
      <c r="Y214" s="508">
        <v>0</v>
      </c>
      <c r="Z214" s="403">
        <v>0</v>
      </c>
      <c r="AA214" s="407">
        <f t="shared" si="48"/>
        <v>0.77591774829244131</v>
      </c>
      <c r="AB214" s="411"/>
      <c r="AC214" s="446"/>
    </row>
    <row r="215" spans="1:29">
      <c r="A215" s="67">
        <v>167</v>
      </c>
      <c r="B215" s="74" t="s">
        <v>186</v>
      </c>
      <c r="C215" s="125" t="s">
        <v>365</v>
      </c>
      <c r="D215" s="387">
        <f t="shared" si="38"/>
        <v>0</v>
      </c>
      <c r="E215" s="104">
        <f t="shared" si="36"/>
        <v>4</v>
      </c>
      <c r="F215" s="83">
        <f t="shared" si="49"/>
        <v>3171.8520000000003</v>
      </c>
      <c r="G215" s="83">
        <f t="shared" si="39"/>
        <v>0</v>
      </c>
      <c r="H215" s="483">
        <f t="shared" si="40"/>
        <v>0</v>
      </c>
      <c r="I215" s="83">
        <f>+'Costo adq'!C204*$I$1</f>
        <v>3988.72</v>
      </c>
      <c r="J215" s="83">
        <f t="shared" si="41"/>
        <v>0</v>
      </c>
      <c r="L215" s="54">
        <f>VLOOKUP(A215,'Precios oferta'!$A$30:$U$436,$B$5,FALSE)</f>
        <v>13894.951999999999</v>
      </c>
      <c r="M215" s="48">
        <f>VLOOKUP(A215,'Precios piso'!$A$30:$U$436,$B$5,FALSE)</f>
        <v>4229.1360000000004</v>
      </c>
      <c r="N215" s="105">
        <f t="shared" si="42"/>
        <v>0.69563507668108526</v>
      </c>
      <c r="O215" s="131">
        <f t="shared" si="37"/>
        <v>3721.6396800000002</v>
      </c>
      <c r="P215" s="388">
        <f t="shared" si="43"/>
        <v>0.7321588674793551</v>
      </c>
      <c r="Q215" s="131">
        <f t="shared" si="44"/>
        <v>3383.3088000000002</v>
      </c>
      <c r="R215" s="105">
        <f t="shared" si="45"/>
        <v>0.75650806134486825</v>
      </c>
      <c r="S215" s="131">
        <f t="shared" si="46"/>
        <v>3171.8520000000003</v>
      </c>
      <c r="T215" s="94">
        <f t="shared" si="47"/>
        <v>0.77172630751081395</v>
      </c>
      <c r="V215" s="82"/>
      <c r="W215" s="504">
        <v>167</v>
      </c>
      <c r="X215" s="506" t="s">
        <v>820</v>
      </c>
      <c r="Y215" s="508">
        <v>0</v>
      </c>
      <c r="Z215" s="403">
        <v>0</v>
      </c>
      <c r="AA215" s="407">
        <f t="shared" si="48"/>
        <v>0.77172630751081395</v>
      </c>
      <c r="AB215" s="411"/>
      <c r="AC215" s="446"/>
    </row>
    <row r="216" spans="1:29">
      <c r="A216" s="67">
        <v>168</v>
      </c>
      <c r="B216" s="74" t="s">
        <v>187</v>
      </c>
      <c r="C216" s="125" t="s">
        <v>365</v>
      </c>
      <c r="D216" s="387">
        <f t="shared" si="38"/>
        <v>3.5</v>
      </c>
      <c r="E216" s="104">
        <f t="shared" si="36"/>
        <v>4</v>
      </c>
      <c r="F216" s="83">
        <f t="shared" si="49"/>
        <v>22413.601199999997</v>
      </c>
      <c r="G216" s="83">
        <f t="shared" si="39"/>
        <v>313790.41679999995</v>
      </c>
      <c r="H216" s="483">
        <f t="shared" si="40"/>
        <v>0</v>
      </c>
      <c r="I216" s="83">
        <f>+'Costo adq'!C205*$I$1</f>
        <v>36412.095999999998</v>
      </c>
      <c r="J216" s="83">
        <f t="shared" si="41"/>
        <v>509769.34399999998</v>
      </c>
      <c r="L216" s="54">
        <f>VLOOKUP(A216,'Precios oferta'!$A$30:$U$436,$B$5,FALSE)</f>
        <v>54676.062400000003</v>
      </c>
      <c r="M216" s="48">
        <f>VLOOKUP(A216,'Precios piso'!$A$30:$U$436,$B$5,FALSE)</f>
        <v>29884.801599999999</v>
      </c>
      <c r="N216" s="105">
        <f t="shared" si="42"/>
        <v>0.45342074231007534</v>
      </c>
      <c r="O216" s="131">
        <f t="shared" si="37"/>
        <v>26298.625408</v>
      </c>
      <c r="P216" s="388">
        <f t="shared" si="43"/>
        <v>0.51901025323286631</v>
      </c>
      <c r="Q216" s="131">
        <f t="shared" si="44"/>
        <v>23907.841280000001</v>
      </c>
      <c r="R216" s="105">
        <f t="shared" si="45"/>
        <v>0.5627365938480603</v>
      </c>
      <c r="S216" s="131">
        <f t="shared" si="46"/>
        <v>22413.601199999997</v>
      </c>
      <c r="T216" s="94">
        <f t="shared" si="47"/>
        <v>0.59006555673255656</v>
      </c>
      <c r="V216" s="82"/>
      <c r="W216" s="504">
        <v>168</v>
      </c>
      <c r="X216" s="506" t="s">
        <v>821</v>
      </c>
      <c r="Y216" s="508">
        <v>3.5</v>
      </c>
      <c r="Z216" s="403">
        <v>0</v>
      </c>
      <c r="AA216" s="407">
        <f t="shared" si="48"/>
        <v>0.59006555673255656</v>
      </c>
      <c r="AB216" s="411"/>
      <c r="AC216" s="446"/>
    </row>
    <row r="217" spans="1:29">
      <c r="A217" s="67">
        <v>169</v>
      </c>
      <c r="B217" s="74" t="s">
        <v>188</v>
      </c>
      <c r="C217" s="125" t="s">
        <v>365</v>
      </c>
      <c r="D217" s="387">
        <f t="shared" si="38"/>
        <v>2.75</v>
      </c>
      <c r="E217" s="104">
        <f t="shared" si="36"/>
        <v>4</v>
      </c>
      <c r="F217" s="83">
        <f t="shared" si="49"/>
        <v>5485.5828000000001</v>
      </c>
      <c r="G217" s="83">
        <f t="shared" si="39"/>
        <v>60341.410799999998</v>
      </c>
      <c r="H217" s="483">
        <f t="shared" si="40"/>
        <v>0</v>
      </c>
      <c r="I217" s="83">
        <f>+'Costo adq'!C206*$I$1</f>
        <v>102985.47199999999</v>
      </c>
      <c r="J217" s="83">
        <f t="shared" si="41"/>
        <v>1132840.192</v>
      </c>
      <c r="L217" s="54">
        <f>VLOOKUP(A217,'Precios oferta'!$A$30:$U$436,$B$5,FALSE)</f>
        <v>197169.53279999999</v>
      </c>
      <c r="M217" s="48">
        <f>VLOOKUP(A217,'Precios piso'!$A$30:$U$436,$B$5,FALSE)</f>
        <v>7314.1103999999996</v>
      </c>
      <c r="N217" s="105">
        <f t="shared" si="42"/>
        <v>0.9629044594459778</v>
      </c>
      <c r="O217" s="131">
        <f t="shared" si="37"/>
        <v>6436.417152</v>
      </c>
      <c r="P217" s="388">
        <f t="shared" si="43"/>
        <v>0.96735592431246054</v>
      </c>
      <c r="Q217" s="131">
        <f t="shared" si="44"/>
        <v>5851.2883199999997</v>
      </c>
      <c r="R217" s="105">
        <f t="shared" si="45"/>
        <v>0.97032356755678228</v>
      </c>
      <c r="S217" s="131">
        <f t="shared" si="46"/>
        <v>5485.5828000000001</v>
      </c>
      <c r="T217" s="94">
        <f t="shared" si="47"/>
        <v>0.97217834458448338</v>
      </c>
      <c r="V217" s="82"/>
      <c r="W217" s="504">
        <v>169</v>
      </c>
      <c r="X217" s="506" t="s">
        <v>822</v>
      </c>
      <c r="Y217" s="508">
        <v>2.75</v>
      </c>
      <c r="Z217" s="403">
        <v>0</v>
      </c>
      <c r="AA217" s="407">
        <f t="shared" si="48"/>
        <v>0.97217834458448338</v>
      </c>
      <c r="AB217" s="411"/>
      <c r="AC217" s="446"/>
    </row>
    <row r="218" spans="1:29">
      <c r="A218" s="67">
        <v>170</v>
      </c>
      <c r="B218" s="74" t="s">
        <v>189</v>
      </c>
      <c r="C218" s="125" t="s">
        <v>365</v>
      </c>
      <c r="D218" s="387">
        <f t="shared" si="38"/>
        <v>133</v>
      </c>
      <c r="E218" s="104">
        <f t="shared" si="36"/>
        <v>4</v>
      </c>
      <c r="F218" s="83">
        <f t="shared" si="49"/>
        <v>10413.018</v>
      </c>
      <c r="G218" s="83">
        <f t="shared" si="39"/>
        <v>5539725.5760000004</v>
      </c>
      <c r="H218" s="483">
        <f t="shared" si="40"/>
        <v>0</v>
      </c>
      <c r="I218" s="83">
        <f>+'Costo adq'!C207*$I$1</f>
        <v>16509.366719999998</v>
      </c>
      <c r="J218" s="83">
        <f t="shared" si="41"/>
        <v>8782983.0950399991</v>
      </c>
      <c r="L218" s="54">
        <f>VLOOKUP(A218,'Precios oferta'!$A$30:$U$436,$B$5,FALSE)</f>
        <v>40398.630400000002</v>
      </c>
      <c r="M218" s="48">
        <f>VLOOKUP(A218,'Precios piso'!$A$30:$U$436,$B$5,FALSE)</f>
        <v>13884.023999999999</v>
      </c>
      <c r="N218" s="105">
        <f t="shared" si="42"/>
        <v>0.65632438866046305</v>
      </c>
      <c r="O218" s="131">
        <f t="shared" si="37"/>
        <v>12217.94112</v>
      </c>
      <c r="P218" s="388">
        <f t="shared" si="43"/>
        <v>0.69756546202120751</v>
      </c>
      <c r="Q218" s="131">
        <f t="shared" si="44"/>
        <v>11107.2192</v>
      </c>
      <c r="R218" s="105">
        <f t="shared" si="45"/>
        <v>0.72505951092837051</v>
      </c>
      <c r="S218" s="131">
        <f t="shared" si="46"/>
        <v>10413.018</v>
      </c>
      <c r="T218" s="94">
        <f t="shared" si="47"/>
        <v>0.7422432914953474</v>
      </c>
      <c r="V218" s="82"/>
      <c r="W218" s="504">
        <v>170</v>
      </c>
      <c r="X218" s="506" t="s">
        <v>823</v>
      </c>
      <c r="Y218" s="508">
        <v>133</v>
      </c>
      <c r="Z218" s="403">
        <v>0</v>
      </c>
      <c r="AA218" s="407">
        <f t="shared" si="48"/>
        <v>0.7422432914953474</v>
      </c>
      <c r="AB218" s="411"/>
      <c r="AC218" s="446">
        <v>0.73104660024273893</v>
      </c>
    </row>
    <row r="219" spans="1:29">
      <c r="A219" s="67">
        <v>171</v>
      </c>
      <c r="B219" s="74" t="s">
        <v>190</v>
      </c>
      <c r="C219" s="125" t="s">
        <v>365</v>
      </c>
      <c r="D219" s="387">
        <f t="shared" si="38"/>
        <v>0</v>
      </c>
      <c r="E219" s="104">
        <f t="shared" si="36"/>
        <v>4</v>
      </c>
      <c r="F219" s="83">
        <f t="shared" si="49"/>
        <v>13280.7984</v>
      </c>
      <c r="G219" s="83">
        <f t="shared" si="39"/>
        <v>0</v>
      </c>
      <c r="H219" s="483">
        <f t="shared" si="40"/>
        <v>0</v>
      </c>
      <c r="I219" s="83">
        <f>+'Costo adq'!C208*$I$1</f>
        <v>21622.140800000001</v>
      </c>
      <c r="J219" s="83">
        <f t="shared" si="41"/>
        <v>0</v>
      </c>
      <c r="L219" s="54">
        <f>VLOOKUP(A219,'Precios oferta'!$A$30:$U$436,$B$5,FALSE)</f>
        <v>35169.582399999999</v>
      </c>
      <c r="M219" s="48">
        <f>VLOOKUP(A219,'Precios piso'!$A$30:$U$436,$B$5,FALSE)</f>
        <v>17707.731199999998</v>
      </c>
      <c r="N219" s="105">
        <f t="shared" si="42"/>
        <v>0.49650436565888822</v>
      </c>
      <c r="O219" s="131">
        <f t="shared" si="37"/>
        <v>15582.803455999998</v>
      </c>
      <c r="P219" s="388">
        <f t="shared" si="43"/>
        <v>0.55692384177982168</v>
      </c>
      <c r="Q219" s="131">
        <f t="shared" si="44"/>
        <v>14166.184959999999</v>
      </c>
      <c r="R219" s="105">
        <f t="shared" si="45"/>
        <v>0.59720349252711058</v>
      </c>
      <c r="S219" s="131">
        <f t="shared" si="46"/>
        <v>13280.7984</v>
      </c>
      <c r="T219" s="94">
        <f t="shared" si="47"/>
        <v>0.62237827424416614</v>
      </c>
      <c r="V219" s="82"/>
      <c r="W219" s="504">
        <v>171</v>
      </c>
      <c r="X219" s="506" t="s">
        <v>824</v>
      </c>
      <c r="Y219" s="508">
        <v>0</v>
      </c>
      <c r="Z219" s="403">
        <v>0</v>
      </c>
      <c r="AA219" s="407">
        <f t="shared" si="48"/>
        <v>0.62237827424416614</v>
      </c>
      <c r="AB219" s="411"/>
      <c r="AC219" s="446"/>
    </row>
    <row r="220" spans="1:29">
      <c r="A220" s="67">
        <v>172</v>
      </c>
      <c r="B220" s="74" t="s">
        <v>191</v>
      </c>
      <c r="C220" s="125" t="s">
        <v>365</v>
      </c>
      <c r="D220" s="387">
        <f t="shared" si="38"/>
        <v>0</v>
      </c>
      <c r="E220" s="104">
        <f t="shared" si="36"/>
        <v>4</v>
      </c>
      <c r="F220" s="83">
        <f t="shared" si="49"/>
        <v>2781.7224000000001</v>
      </c>
      <c r="G220" s="83">
        <f t="shared" si="39"/>
        <v>0</v>
      </c>
      <c r="H220" s="483">
        <f t="shared" si="40"/>
        <v>0</v>
      </c>
      <c r="I220" s="83">
        <f>+'Costo adq'!C209*$I$1</f>
        <v>40662.978719999999</v>
      </c>
      <c r="J220" s="83">
        <f t="shared" si="41"/>
        <v>0</v>
      </c>
      <c r="L220" s="54">
        <f>VLOOKUP(A220,'Precios oferta'!$A$30:$U$436,$B$5,FALSE)</f>
        <v>107806.9056</v>
      </c>
      <c r="M220" s="48">
        <f>VLOOKUP(A220,'Precios piso'!$A$30:$U$436,$B$5,FALSE)</f>
        <v>3708.9632000000001</v>
      </c>
      <c r="N220" s="105">
        <f t="shared" si="42"/>
        <v>0.9655962372785144</v>
      </c>
      <c r="O220" s="131">
        <f t="shared" si="37"/>
        <v>3263.887616</v>
      </c>
      <c r="P220" s="388">
        <f t="shared" si="43"/>
        <v>0.96972468880509266</v>
      </c>
      <c r="Q220" s="131">
        <f t="shared" si="44"/>
        <v>2967.17056</v>
      </c>
      <c r="R220" s="105">
        <f t="shared" si="45"/>
        <v>0.9724769898228115</v>
      </c>
      <c r="S220" s="131">
        <f t="shared" si="46"/>
        <v>2781.7224000000001</v>
      </c>
      <c r="T220" s="94">
        <f t="shared" si="47"/>
        <v>0.97419717795888583</v>
      </c>
      <c r="V220" s="82"/>
      <c r="W220" s="504">
        <v>172</v>
      </c>
      <c r="X220" s="506" t="s">
        <v>825</v>
      </c>
      <c r="Y220" s="508">
        <v>0</v>
      </c>
      <c r="Z220" s="403">
        <v>0</v>
      </c>
      <c r="AA220" s="407">
        <f t="shared" si="48"/>
        <v>0.97419717795888583</v>
      </c>
      <c r="AB220" s="411"/>
      <c r="AC220" s="446"/>
    </row>
    <row r="221" spans="1:29">
      <c r="A221" s="67">
        <v>173</v>
      </c>
      <c r="B221" s="74" t="s">
        <v>192</v>
      </c>
      <c r="C221" s="125" t="s">
        <v>365</v>
      </c>
      <c r="D221" s="387">
        <f t="shared" si="38"/>
        <v>0</v>
      </c>
      <c r="E221" s="104">
        <f t="shared" si="36"/>
        <v>4</v>
      </c>
      <c r="F221" s="83">
        <f t="shared" si="49"/>
        <v>14041.387200000001</v>
      </c>
      <c r="G221" s="83">
        <f t="shared" si="39"/>
        <v>0</v>
      </c>
      <c r="H221" s="483">
        <f t="shared" si="40"/>
        <v>0</v>
      </c>
      <c r="I221" s="83">
        <f>+'Costo adq'!C210*$I$1</f>
        <v>25571.388863999997</v>
      </c>
      <c r="J221" s="83">
        <f t="shared" si="41"/>
        <v>0</v>
      </c>
      <c r="L221" s="54">
        <f>VLOOKUP(A221,'Precios oferta'!$A$30:$U$436,$B$5,FALSE)</f>
        <v>46454.928</v>
      </c>
      <c r="M221" s="48">
        <f>VLOOKUP(A221,'Precios piso'!$A$30:$U$436,$B$5,FALSE)</f>
        <v>18721.849600000001</v>
      </c>
      <c r="N221" s="105">
        <f t="shared" si="42"/>
        <v>0.59698894377793454</v>
      </c>
      <c r="O221" s="131">
        <f t="shared" si="37"/>
        <v>16475.227648</v>
      </c>
      <c r="P221" s="388">
        <f t="shared" si="43"/>
        <v>0.64535027052458238</v>
      </c>
      <c r="Q221" s="131">
        <f t="shared" si="44"/>
        <v>14977.47968</v>
      </c>
      <c r="R221" s="105">
        <f t="shared" si="45"/>
        <v>0.67759115502234768</v>
      </c>
      <c r="S221" s="131">
        <f t="shared" si="46"/>
        <v>14041.387200000001</v>
      </c>
      <c r="T221" s="94">
        <f t="shared" si="47"/>
        <v>0.69774170783345091</v>
      </c>
      <c r="V221" s="82"/>
      <c r="W221" s="504">
        <v>173</v>
      </c>
      <c r="X221" s="506" t="s">
        <v>826</v>
      </c>
      <c r="Y221" s="508">
        <v>0</v>
      </c>
      <c r="Z221" s="403">
        <v>0</v>
      </c>
      <c r="AA221" s="407">
        <f t="shared" si="48"/>
        <v>0.69774170783345091</v>
      </c>
      <c r="AB221" s="411"/>
      <c r="AC221" s="446"/>
    </row>
    <row r="222" spans="1:29">
      <c r="A222" s="67">
        <v>174</v>
      </c>
      <c r="B222" s="74" t="s">
        <v>193</v>
      </c>
      <c r="C222" s="125" t="s">
        <v>365</v>
      </c>
      <c r="D222" s="387">
        <f t="shared" si="38"/>
        <v>0</v>
      </c>
      <c r="E222" s="104">
        <f t="shared" si="36"/>
        <v>4</v>
      </c>
      <c r="F222" s="83">
        <f t="shared" si="49"/>
        <v>10262.211600000001</v>
      </c>
      <c r="G222" s="83">
        <f t="shared" si="39"/>
        <v>0</v>
      </c>
      <c r="H222" s="483">
        <f t="shared" si="40"/>
        <v>0</v>
      </c>
      <c r="I222" s="83">
        <f>+'Costo adq'!C211*$I$1</f>
        <v>14605.271999999999</v>
      </c>
      <c r="J222" s="83">
        <f t="shared" si="41"/>
        <v>0</v>
      </c>
      <c r="L222" s="54">
        <f>VLOOKUP(A222,'Precios oferta'!$A$30:$U$436,$B$5,FALSE)</f>
        <v>24821.859199999999</v>
      </c>
      <c r="M222" s="48">
        <f>VLOOKUP(A222,'Precios piso'!$A$30:$U$436,$B$5,FALSE)</f>
        <v>13682.9488</v>
      </c>
      <c r="N222" s="105">
        <f t="shared" si="42"/>
        <v>0.44875407237826892</v>
      </c>
      <c r="O222" s="131">
        <f t="shared" si="37"/>
        <v>12040.994944</v>
      </c>
      <c r="P222" s="388">
        <f t="shared" si="43"/>
        <v>0.51490358369287659</v>
      </c>
      <c r="Q222" s="131">
        <f t="shared" si="44"/>
        <v>10946.359039999999</v>
      </c>
      <c r="R222" s="105">
        <f t="shared" si="45"/>
        <v>0.55900325790261518</v>
      </c>
      <c r="S222" s="131">
        <f t="shared" si="46"/>
        <v>10262.211600000001</v>
      </c>
      <c r="T222" s="94">
        <f t="shared" si="47"/>
        <v>0.58656555428370161</v>
      </c>
      <c r="V222" s="82"/>
      <c r="W222" s="504">
        <v>174</v>
      </c>
      <c r="X222" s="506" t="s">
        <v>827</v>
      </c>
      <c r="Y222" s="508">
        <v>0</v>
      </c>
      <c r="Z222" s="403">
        <v>0</v>
      </c>
      <c r="AA222" s="407">
        <f t="shared" si="48"/>
        <v>0.58656555428370161</v>
      </c>
      <c r="AB222" s="411"/>
      <c r="AC222" s="446"/>
    </row>
    <row r="223" spans="1:29">
      <c r="A223" s="67">
        <v>175</v>
      </c>
      <c r="B223" s="74" t="s">
        <v>194</v>
      </c>
      <c r="C223" s="125" t="s">
        <v>365</v>
      </c>
      <c r="D223" s="387">
        <f t="shared" si="38"/>
        <v>5</v>
      </c>
      <c r="E223" s="104">
        <f t="shared" si="36"/>
        <v>4</v>
      </c>
      <c r="F223" s="83">
        <f t="shared" si="49"/>
        <v>5983.08</v>
      </c>
      <c r="G223" s="83">
        <f t="shared" si="39"/>
        <v>119661.6</v>
      </c>
      <c r="H223" s="483">
        <f t="shared" si="40"/>
        <v>0</v>
      </c>
      <c r="I223" s="83">
        <f>+'Costo adq'!C212*$I$1</f>
        <v>6254.0944</v>
      </c>
      <c r="J223" s="83">
        <f t="shared" si="41"/>
        <v>125081.88800000001</v>
      </c>
      <c r="L223" s="54">
        <f>VLOOKUP(A223,'Precios oferta'!$A$30:$U$436,$B$5,FALSE)</f>
        <v>15105.7744</v>
      </c>
      <c r="M223" s="48">
        <f>VLOOKUP(A223,'Precios piso'!$A$30:$U$436,$B$5,FALSE)</f>
        <v>7977.44</v>
      </c>
      <c r="N223" s="105">
        <f t="shared" si="42"/>
        <v>0.47189466830644577</v>
      </c>
      <c r="O223" s="131">
        <f t="shared" si="37"/>
        <v>7020.1471999999994</v>
      </c>
      <c r="P223" s="388">
        <f t="shared" si="43"/>
        <v>0.53526730810967238</v>
      </c>
      <c r="Q223" s="131">
        <f t="shared" si="44"/>
        <v>6381.9519999999993</v>
      </c>
      <c r="R223" s="105">
        <f t="shared" si="45"/>
        <v>0.57751573464515671</v>
      </c>
      <c r="S223" s="131">
        <f t="shared" si="46"/>
        <v>5983.08</v>
      </c>
      <c r="T223" s="94">
        <f t="shared" si="47"/>
        <v>0.60392100122983439</v>
      </c>
      <c r="V223" s="82"/>
      <c r="W223" s="504">
        <v>175</v>
      </c>
      <c r="X223" s="506" t="s">
        <v>828</v>
      </c>
      <c r="Y223" s="508">
        <v>5</v>
      </c>
      <c r="Z223" s="403">
        <v>0</v>
      </c>
      <c r="AA223" s="407">
        <f t="shared" si="48"/>
        <v>0.60392100122983439</v>
      </c>
      <c r="AB223" s="411"/>
      <c r="AC223" s="446"/>
    </row>
    <row r="224" spans="1:29">
      <c r="A224" s="67">
        <v>176</v>
      </c>
      <c r="B224" s="74" t="s">
        <v>195</v>
      </c>
      <c r="C224" s="125" t="s">
        <v>365</v>
      </c>
      <c r="D224" s="387">
        <f t="shared" si="38"/>
        <v>41</v>
      </c>
      <c r="E224" s="104">
        <f t="shared" si="36"/>
        <v>4</v>
      </c>
      <c r="F224" s="83">
        <f t="shared" si="49"/>
        <v>2240.7864</v>
      </c>
      <c r="G224" s="83">
        <f t="shared" si="39"/>
        <v>367488.96960000001</v>
      </c>
      <c r="H224" s="483">
        <f t="shared" si="40"/>
        <v>0</v>
      </c>
      <c r="I224" s="83">
        <f>+'Costo adq'!C213*$I$1</f>
        <v>5239.9798247999997</v>
      </c>
      <c r="J224" s="83">
        <f t="shared" si="41"/>
        <v>859356.69126719993</v>
      </c>
      <c r="L224" s="54">
        <f>VLOOKUP(A224,'Precios oferta'!$A$30:$U$436,$B$5,FALSE)</f>
        <v>11607.721600000001</v>
      </c>
      <c r="M224" s="48">
        <f>VLOOKUP(A224,'Precios piso'!$A$30:$U$436,$B$5,FALSE)</f>
        <v>2987.7152000000001</v>
      </c>
      <c r="N224" s="105">
        <f t="shared" si="42"/>
        <v>0.74260967802673705</v>
      </c>
      <c r="O224" s="131">
        <f t="shared" si="37"/>
        <v>2629.1893760000003</v>
      </c>
      <c r="P224" s="388">
        <f t="shared" si="43"/>
        <v>0.77349651666352848</v>
      </c>
      <c r="Q224" s="131">
        <f t="shared" si="44"/>
        <v>2390.1721600000001</v>
      </c>
      <c r="R224" s="105">
        <f t="shared" si="45"/>
        <v>0.79408774242138958</v>
      </c>
      <c r="S224" s="131">
        <f t="shared" si="46"/>
        <v>2240.7864</v>
      </c>
      <c r="T224" s="94">
        <f t="shared" si="47"/>
        <v>0.80695725852005273</v>
      </c>
      <c r="V224" s="82"/>
      <c r="W224" s="504">
        <v>176</v>
      </c>
      <c r="X224" s="506" t="s">
        <v>829</v>
      </c>
      <c r="Y224" s="508">
        <v>41</v>
      </c>
      <c r="Z224" s="403">
        <v>0</v>
      </c>
      <c r="AA224" s="407">
        <f t="shared" si="48"/>
        <v>0.80695725852005273</v>
      </c>
      <c r="AB224" s="411"/>
      <c r="AC224" s="446"/>
    </row>
    <row r="225" spans="1:29">
      <c r="A225" s="67">
        <v>177</v>
      </c>
      <c r="B225" s="74" t="s">
        <v>196</v>
      </c>
      <c r="C225" s="125" t="s">
        <v>365</v>
      </c>
      <c r="D225" s="387">
        <f t="shared" si="38"/>
        <v>0</v>
      </c>
      <c r="E225" s="104">
        <f t="shared" si="36"/>
        <v>4</v>
      </c>
      <c r="F225" s="83">
        <f t="shared" si="49"/>
        <v>2080.1448</v>
      </c>
      <c r="G225" s="83">
        <f t="shared" si="39"/>
        <v>0</v>
      </c>
      <c r="H225" s="483">
        <f t="shared" si="40"/>
        <v>0</v>
      </c>
      <c r="I225" s="83">
        <f>+'Costo adq'!C214*$I$1</f>
        <v>2486.12</v>
      </c>
      <c r="J225" s="83">
        <f t="shared" si="41"/>
        <v>0</v>
      </c>
      <c r="L225" s="54">
        <f>VLOOKUP(A225,'Precios oferta'!$A$30:$U$436,$B$5,FALSE)</f>
        <v>6020.2352000000001</v>
      </c>
      <c r="M225" s="48">
        <f>VLOOKUP(A225,'Precios piso'!$A$30:$U$436,$B$5,FALSE)</f>
        <v>2773.5264000000002</v>
      </c>
      <c r="N225" s="105">
        <f t="shared" si="42"/>
        <v>0.53929932837175532</v>
      </c>
      <c r="O225" s="131">
        <f t="shared" si="37"/>
        <v>2440.7032320000003</v>
      </c>
      <c r="P225" s="388">
        <f t="shared" si="43"/>
        <v>0.59458340896714468</v>
      </c>
      <c r="Q225" s="131">
        <f t="shared" si="44"/>
        <v>2218.8211200000001</v>
      </c>
      <c r="R225" s="105">
        <f t="shared" si="45"/>
        <v>0.63143946269740425</v>
      </c>
      <c r="S225" s="131">
        <f t="shared" si="46"/>
        <v>2080.1448</v>
      </c>
      <c r="T225" s="94">
        <f t="shared" si="47"/>
        <v>0.65447449627881649</v>
      </c>
      <c r="V225" s="82"/>
      <c r="W225" s="504">
        <v>177</v>
      </c>
      <c r="X225" s="506" t="s">
        <v>830</v>
      </c>
      <c r="Y225" s="508">
        <v>0</v>
      </c>
      <c r="Z225" s="403">
        <v>0</v>
      </c>
      <c r="AA225" s="407">
        <f t="shared" si="48"/>
        <v>0.65447449627881649</v>
      </c>
      <c r="AB225" s="411"/>
      <c r="AC225" s="446">
        <v>0.68366458451637324</v>
      </c>
    </row>
    <row r="226" spans="1:29">
      <c r="A226" s="67">
        <v>178</v>
      </c>
      <c r="B226" s="74" t="s">
        <v>197</v>
      </c>
      <c r="C226" s="125" t="s">
        <v>365</v>
      </c>
      <c r="D226" s="387">
        <f t="shared" si="38"/>
        <v>0</v>
      </c>
      <c r="E226" s="104">
        <f t="shared" si="36"/>
        <v>4</v>
      </c>
      <c r="F226" s="83">
        <f t="shared" si="49"/>
        <v>2080.1448</v>
      </c>
      <c r="G226" s="83">
        <f t="shared" si="39"/>
        <v>0</v>
      </c>
      <c r="H226" s="483">
        <f t="shared" si="40"/>
        <v>0</v>
      </c>
      <c r="I226" s="83">
        <f>+'Costo adq'!C215*$I$1</f>
        <v>2400.8816000000002</v>
      </c>
      <c r="J226" s="83">
        <f t="shared" si="41"/>
        <v>0</v>
      </c>
      <c r="L226" s="54">
        <f>VLOOKUP(A226,'Precios oferta'!$A$30:$U$436,$B$5,FALSE)</f>
        <v>7392.7919999999995</v>
      </c>
      <c r="M226" s="48">
        <f>VLOOKUP(A226,'Precios piso'!$A$30:$U$436,$B$5,FALSE)</f>
        <v>2773.5264000000002</v>
      </c>
      <c r="N226" s="105">
        <f t="shared" si="42"/>
        <v>0.6248337028824833</v>
      </c>
      <c r="O226" s="131">
        <f t="shared" si="37"/>
        <v>2440.7032320000003</v>
      </c>
      <c r="P226" s="388">
        <f t="shared" si="43"/>
        <v>0.66985365853658529</v>
      </c>
      <c r="Q226" s="131">
        <f t="shared" si="44"/>
        <v>2218.8211200000001</v>
      </c>
      <c r="R226" s="105">
        <f t="shared" si="45"/>
        <v>0.69986696230598666</v>
      </c>
      <c r="S226" s="131">
        <f t="shared" si="46"/>
        <v>2080.1448</v>
      </c>
      <c r="T226" s="94">
        <f t="shared" si="47"/>
        <v>0.71862527716186253</v>
      </c>
      <c r="V226" s="82"/>
      <c r="W226" s="504">
        <v>178</v>
      </c>
      <c r="X226" s="506" t="s">
        <v>831</v>
      </c>
      <c r="Y226" s="508">
        <v>0</v>
      </c>
      <c r="Z226" s="403">
        <v>0</v>
      </c>
      <c r="AA226" s="407">
        <f t="shared" si="48"/>
        <v>0.71862527716186253</v>
      </c>
      <c r="AB226" s="411"/>
      <c r="AC226" s="446"/>
    </row>
    <row r="227" spans="1:29">
      <c r="A227" s="67">
        <v>179</v>
      </c>
      <c r="B227" s="74" t="s">
        <v>198</v>
      </c>
      <c r="C227" s="125" t="s">
        <v>365</v>
      </c>
      <c r="D227" s="387">
        <f t="shared" si="38"/>
        <v>0</v>
      </c>
      <c r="E227" s="104">
        <f t="shared" si="36"/>
        <v>4</v>
      </c>
      <c r="F227" s="83">
        <f t="shared" si="49"/>
        <v>6360.9155999999994</v>
      </c>
      <c r="G227" s="83">
        <f t="shared" si="39"/>
        <v>0</v>
      </c>
      <c r="H227" s="483">
        <f t="shared" si="40"/>
        <v>0</v>
      </c>
      <c r="I227" s="481">
        <f>+'Costo adq'!C216*$I$1</f>
        <v>4153.7327999999998</v>
      </c>
      <c r="J227" s="83">
        <f t="shared" si="41"/>
        <v>0</v>
      </c>
      <c r="L227" s="54">
        <f>VLOOKUP(A227,'Precios oferta'!$A$30:$U$436,$B$5,FALSE)</f>
        <v>21670.223999999998</v>
      </c>
      <c r="M227" s="48">
        <f>VLOOKUP(A227,'Precios piso'!$A$30:$U$436,$B$5,FALSE)</f>
        <v>8481.2207999999991</v>
      </c>
      <c r="N227" s="105">
        <f t="shared" si="42"/>
        <v>0.60862329803328286</v>
      </c>
      <c r="O227" s="131">
        <f t="shared" si="37"/>
        <v>7463.4743039999994</v>
      </c>
      <c r="P227" s="388">
        <f t="shared" si="43"/>
        <v>0.65558850226928889</v>
      </c>
      <c r="Q227" s="131">
        <f t="shared" si="44"/>
        <v>6784.976639999999</v>
      </c>
      <c r="R227" s="105">
        <f t="shared" si="45"/>
        <v>0.68689863842662635</v>
      </c>
      <c r="S227" s="131">
        <f t="shared" si="46"/>
        <v>6360.9155999999994</v>
      </c>
      <c r="T227" s="94">
        <f t="shared" si="47"/>
        <v>0.7064674735249622</v>
      </c>
      <c r="V227" s="82"/>
      <c r="W227" s="504">
        <v>179</v>
      </c>
      <c r="X227" s="506" t="s">
        <v>832</v>
      </c>
      <c r="Y227" s="508">
        <v>0</v>
      </c>
      <c r="Z227" s="403">
        <v>0</v>
      </c>
      <c r="AA227" s="407">
        <f t="shared" si="48"/>
        <v>0.7064674735249622</v>
      </c>
      <c r="AB227" s="411"/>
      <c r="AC227" s="446"/>
    </row>
    <row r="228" spans="1:29">
      <c r="A228" s="67">
        <v>180</v>
      </c>
      <c r="B228" s="74" t="s">
        <v>199</v>
      </c>
      <c r="C228" s="125" t="s">
        <v>365</v>
      </c>
      <c r="D228" s="387">
        <f t="shared" si="38"/>
        <v>22</v>
      </c>
      <c r="E228" s="104">
        <f t="shared" si="36"/>
        <v>4</v>
      </c>
      <c r="F228" s="83">
        <f t="shared" si="49"/>
        <v>4672.5396000000001</v>
      </c>
      <c r="G228" s="83">
        <f t="shared" si="39"/>
        <v>411183.48479999998</v>
      </c>
      <c r="H228" s="483">
        <f t="shared" si="40"/>
        <v>0</v>
      </c>
      <c r="I228" s="83">
        <f>+'Costo adq'!C217*$I$1</f>
        <v>6437.6848</v>
      </c>
      <c r="J228" s="83">
        <f t="shared" si="41"/>
        <v>566516.26240000001</v>
      </c>
      <c r="L228" s="54">
        <f>VLOOKUP(A228,'Precios oferta'!$A$30:$U$436,$B$5,FALSE)</f>
        <v>13387.8928</v>
      </c>
      <c r="M228" s="48">
        <f>VLOOKUP(A228,'Precios piso'!$A$30:$U$436,$B$5,FALSE)</f>
        <v>6230.0527999999995</v>
      </c>
      <c r="N228" s="105">
        <f t="shared" si="42"/>
        <v>0.53465023263407074</v>
      </c>
      <c r="O228" s="131">
        <f t="shared" si="37"/>
        <v>5482.4464639999997</v>
      </c>
      <c r="P228" s="388">
        <f t="shared" si="43"/>
        <v>0.59049220471798214</v>
      </c>
      <c r="Q228" s="131">
        <f t="shared" si="44"/>
        <v>4984.0422399999998</v>
      </c>
      <c r="R228" s="105">
        <f t="shared" si="45"/>
        <v>0.62772018610725655</v>
      </c>
      <c r="S228" s="131">
        <f t="shared" si="46"/>
        <v>4672.5396000000001</v>
      </c>
      <c r="T228" s="94">
        <f t="shared" si="47"/>
        <v>0.65098767447555295</v>
      </c>
      <c r="V228" s="82"/>
      <c r="W228" s="504">
        <v>180</v>
      </c>
      <c r="X228" s="506" t="s">
        <v>833</v>
      </c>
      <c r="Y228" s="508">
        <v>22</v>
      </c>
      <c r="Z228" s="403">
        <v>0</v>
      </c>
      <c r="AA228" s="407">
        <f t="shared" si="48"/>
        <v>0.65098767447555295</v>
      </c>
      <c r="AB228" s="411"/>
      <c r="AC228" s="446"/>
    </row>
    <row r="229" spans="1:29">
      <c r="A229" s="67">
        <v>181</v>
      </c>
      <c r="B229" s="74" t="s">
        <v>200</v>
      </c>
      <c r="C229" s="125" t="s">
        <v>365</v>
      </c>
      <c r="D229" s="387">
        <f t="shared" si="38"/>
        <v>0</v>
      </c>
      <c r="E229" s="104">
        <f t="shared" si="36"/>
        <v>4</v>
      </c>
      <c r="F229" s="83">
        <f t="shared" si="49"/>
        <v>525.36359999999991</v>
      </c>
      <c r="G229" s="83">
        <f t="shared" si="39"/>
        <v>0</v>
      </c>
      <c r="H229" s="483">
        <f t="shared" si="40"/>
        <v>0</v>
      </c>
      <c r="I229" s="83">
        <f>+'Costo adq'!C218*$I$1</f>
        <v>2126.5888</v>
      </c>
      <c r="J229" s="83">
        <f t="shared" si="41"/>
        <v>0</v>
      </c>
      <c r="L229" s="54">
        <f>VLOOKUP(A229,'Precios oferta'!$A$30:$U$436,$B$5,FALSE)</f>
        <v>2534.2031999999999</v>
      </c>
      <c r="M229" s="48">
        <f>VLOOKUP(A229,'Precios piso'!$A$30:$U$436,$B$5,FALSE)</f>
        <v>700.48479999999995</v>
      </c>
      <c r="N229" s="105">
        <f t="shared" si="42"/>
        <v>0.72358775334195768</v>
      </c>
      <c r="O229" s="131">
        <f t="shared" si="37"/>
        <v>616.42662399999995</v>
      </c>
      <c r="P229" s="388">
        <f t="shared" si="43"/>
        <v>0.75675722294092285</v>
      </c>
      <c r="Q229" s="131">
        <f t="shared" si="44"/>
        <v>560.38783999999998</v>
      </c>
      <c r="R229" s="105">
        <f t="shared" si="45"/>
        <v>0.77887020267356621</v>
      </c>
      <c r="S229" s="131">
        <f t="shared" si="46"/>
        <v>525.36359999999991</v>
      </c>
      <c r="T229" s="94">
        <f t="shared" si="47"/>
        <v>0.79269081500646832</v>
      </c>
      <c r="V229" s="82"/>
      <c r="W229" s="504">
        <v>181</v>
      </c>
      <c r="X229" s="506" t="s">
        <v>834</v>
      </c>
      <c r="Y229" s="508">
        <v>0</v>
      </c>
      <c r="Z229" s="403">
        <v>0</v>
      </c>
      <c r="AA229" s="407">
        <f t="shared" si="48"/>
        <v>0.79269081500646832</v>
      </c>
      <c r="AB229" s="411"/>
      <c r="AC229" s="446"/>
    </row>
    <row r="230" spans="1:29">
      <c r="A230" s="67">
        <v>182</v>
      </c>
      <c r="B230" s="74" t="s">
        <v>201</v>
      </c>
      <c r="C230" s="125" t="s">
        <v>365</v>
      </c>
      <c r="D230" s="387">
        <f t="shared" si="38"/>
        <v>0</v>
      </c>
      <c r="E230" s="104">
        <f t="shared" si="36"/>
        <v>4</v>
      </c>
      <c r="F230" s="83">
        <f t="shared" si="49"/>
        <v>968.7672</v>
      </c>
      <c r="G230" s="83">
        <f t="shared" si="39"/>
        <v>0</v>
      </c>
      <c r="H230" s="483">
        <f t="shared" si="40"/>
        <v>0</v>
      </c>
      <c r="I230" s="83">
        <f>+'Costo adq'!C219*$I$1</f>
        <v>2600.864</v>
      </c>
      <c r="J230" s="83">
        <f t="shared" si="41"/>
        <v>0</v>
      </c>
      <c r="L230" s="54">
        <f>VLOOKUP(A230,'Precios oferta'!$A$30:$U$436,$B$5,FALSE)</f>
        <v>4425.84</v>
      </c>
      <c r="M230" s="48">
        <f>VLOOKUP(A230,'Precios piso'!$A$30:$U$436,$B$5,FALSE)</f>
        <v>1291.6895999999999</v>
      </c>
      <c r="N230" s="105">
        <f t="shared" si="42"/>
        <v>0.70814814814814819</v>
      </c>
      <c r="O230" s="131">
        <f t="shared" si="37"/>
        <v>1136.6868479999998</v>
      </c>
      <c r="P230" s="388">
        <f t="shared" si="43"/>
        <v>0.74317037037037048</v>
      </c>
      <c r="Q230" s="131">
        <f t="shared" si="44"/>
        <v>1033.35168</v>
      </c>
      <c r="R230" s="105">
        <f t="shared" si="45"/>
        <v>0.76651851851851849</v>
      </c>
      <c r="S230" s="131">
        <f t="shared" si="46"/>
        <v>968.7672</v>
      </c>
      <c r="T230" s="94">
        <f t="shared" si="47"/>
        <v>0.78111111111111109</v>
      </c>
      <c r="V230" s="82"/>
      <c r="W230" s="504">
        <v>182</v>
      </c>
      <c r="X230" s="506" t="s">
        <v>835</v>
      </c>
      <c r="Y230" s="508">
        <v>0</v>
      </c>
      <c r="Z230" s="403">
        <v>0</v>
      </c>
      <c r="AA230" s="407">
        <f t="shared" si="48"/>
        <v>0.78111111111111109</v>
      </c>
      <c r="AB230" s="411"/>
      <c r="AC230" s="446"/>
    </row>
    <row r="231" spans="1:29">
      <c r="A231" s="67">
        <v>183</v>
      </c>
      <c r="B231" s="74" t="s">
        <v>202</v>
      </c>
      <c r="C231" s="125" t="s">
        <v>365</v>
      </c>
      <c r="D231" s="387">
        <f t="shared" si="38"/>
        <v>0</v>
      </c>
      <c r="E231" s="104">
        <f t="shared" si="36"/>
        <v>4</v>
      </c>
      <c r="F231" s="83">
        <f t="shared" si="49"/>
        <v>1011.3864000000001</v>
      </c>
      <c r="G231" s="83">
        <f t="shared" si="39"/>
        <v>0</v>
      </c>
      <c r="H231" s="483">
        <f t="shared" si="40"/>
        <v>0</v>
      </c>
      <c r="I231" s="83">
        <f>+'Costo adq'!C220*$I$1</f>
        <v>2115.6608000000001</v>
      </c>
      <c r="J231" s="83">
        <f t="shared" si="41"/>
        <v>0</v>
      </c>
      <c r="L231" s="54">
        <f>VLOOKUP(A231,'Precios oferta'!$A$30:$U$436,$B$5,FALSE)</f>
        <v>2447.8719999999998</v>
      </c>
      <c r="M231" s="48">
        <f>VLOOKUP(A231,'Precios piso'!$A$30:$U$436,$B$5,FALSE)</f>
        <v>1348.5152</v>
      </c>
      <c r="N231" s="105">
        <f t="shared" si="42"/>
        <v>0.44910714285714282</v>
      </c>
      <c r="O231" s="131">
        <f t="shared" si="37"/>
        <v>1186.6933760000002</v>
      </c>
      <c r="P231" s="388">
        <f t="shared" si="43"/>
        <v>0.51521428571428562</v>
      </c>
      <c r="Q231" s="131">
        <f t="shared" si="44"/>
        <v>1078.8121599999999</v>
      </c>
      <c r="R231" s="105">
        <f t="shared" si="45"/>
        <v>0.55928571428571427</v>
      </c>
      <c r="S231" s="131">
        <f t="shared" si="46"/>
        <v>1011.3864000000001</v>
      </c>
      <c r="T231" s="94">
        <f t="shared" si="47"/>
        <v>0.58683035714285703</v>
      </c>
      <c r="V231" s="82"/>
      <c r="W231" s="504">
        <v>183</v>
      </c>
      <c r="X231" s="506" t="s">
        <v>836</v>
      </c>
      <c r="Y231" s="508">
        <v>0</v>
      </c>
      <c r="Z231" s="403">
        <v>0</v>
      </c>
      <c r="AA231" s="407">
        <f t="shared" si="48"/>
        <v>0.58683035714285703</v>
      </c>
      <c r="AB231" s="411"/>
      <c r="AC231" s="446"/>
    </row>
    <row r="232" spans="1:29">
      <c r="A232" s="67">
        <v>184</v>
      </c>
      <c r="B232" s="74" t="s">
        <v>203</v>
      </c>
      <c r="C232" s="125" t="s">
        <v>365</v>
      </c>
      <c r="D232" s="387">
        <f t="shared" si="38"/>
        <v>39</v>
      </c>
      <c r="E232" s="104">
        <f t="shared" si="36"/>
        <v>4</v>
      </c>
      <c r="F232" s="83">
        <f t="shared" si="49"/>
        <v>1067.9387999999999</v>
      </c>
      <c r="G232" s="83">
        <f t="shared" si="39"/>
        <v>166598.45279999997</v>
      </c>
      <c r="H232" s="483">
        <f t="shared" si="40"/>
        <v>0</v>
      </c>
      <c r="I232" s="83">
        <f>+'Costo adq'!C221*$I$1</f>
        <v>1363.8144</v>
      </c>
      <c r="J232" s="83">
        <f t="shared" si="41"/>
        <v>212755.04639999999</v>
      </c>
      <c r="L232" s="54">
        <f>VLOOKUP(A232,'Precios oferta'!$A$30:$U$436,$B$5,FALSE)</f>
        <v>3078.4175999999998</v>
      </c>
      <c r="M232" s="48">
        <f>VLOOKUP(A232,'Precios piso'!$A$30:$U$436,$B$5,FALSE)</f>
        <v>1423.9184</v>
      </c>
      <c r="N232" s="105">
        <f t="shared" si="42"/>
        <v>0.53745118920837764</v>
      </c>
      <c r="O232" s="131">
        <f t="shared" si="37"/>
        <v>1253.048192</v>
      </c>
      <c r="P232" s="388">
        <f t="shared" si="43"/>
        <v>0.59295704650337244</v>
      </c>
      <c r="Q232" s="131">
        <f t="shared" si="44"/>
        <v>1139.13472</v>
      </c>
      <c r="R232" s="105">
        <f t="shared" si="45"/>
        <v>0.62996095136670216</v>
      </c>
      <c r="S232" s="131">
        <f t="shared" si="46"/>
        <v>1067.9387999999999</v>
      </c>
      <c r="T232" s="94">
        <f t="shared" si="47"/>
        <v>0.65308839190628332</v>
      </c>
      <c r="V232" s="82"/>
      <c r="W232" s="504">
        <v>184</v>
      </c>
      <c r="X232" s="506" t="s">
        <v>837</v>
      </c>
      <c r="Y232" s="508">
        <v>39</v>
      </c>
      <c r="Z232" s="403">
        <v>0</v>
      </c>
      <c r="AA232" s="407">
        <f t="shared" si="48"/>
        <v>0.65308839190628332</v>
      </c>
      <c r="AB232" s="411"/>
      <c r="AC232" s="446">
        <v>0.61048689138576773</v>
      </c>
    </row>
    <row r="233" spans="1:29">
      <c r="A233" s="67">
        <v>185</v>
      </c>
      <c r="B233" s="74" t="s">
        <v>204</v>
      </c>
      <c r="C233" s="125" t="s">
        <v>365</v>
      </c>
      <c r="D233" s="387">
        <f t="shared" si="38"/>
        <v>0</v>
      </c>
      <c r="E233" s="104">
        <f t="shared" si="36"/>
        <v>4</v>
      </c>
      <c r="F233" s="83">
        <f t="shared" si="49"/>
        <v>2643.21</v>
      </c>
      <c r="G233" s="83">
        <f t="shared" si="39"/>
        <v>0</v>
      </c>
      <c r="H233" s="483">
        <f t="shared" si="40"/>
        <v>0</v>
      </c>
      <c r="I233" s="83">
        <f>+'Costo adq'!C222*$I$1</f>
        <v>3455.4335999999998</v>
      </c>
      <c r="J233" s="83">
        <f t="shared" si="41"/>
        <v>0</v>
      </c>
      <c r="L233" s="54">
        <f>VLOOKUP(A233,'Precios oferta'!$A$30:$U$436,$B$5,FALSE)</f>
        <v>6786.2880000000005</v>
      </c>
      <c r="M233" s="48">
        <f>VLOOKUP(A233,'Precios piso'!$A$30:$U$436,$B$5,FALSE)</f>
        <v>3524.2799999999997</v>
      </c>
      <c r="N233" s="105">
        <f t="shared" si="42"/>
        <v>0.48067632850241548</v>
      </c>
      <c r="O233" s="131">
        <f t="shared" si="37"/>
        <v>3101.3663999999999</v>
      </c>
      <c r="P233" s="388">
        <f t="shared" si="43"/>
        <v>0.54299516908212564</v>
      </c>
      <c r="Q233" s="131">
        <f t="shared" si="44"/>
        <v>2819.424</v>
      </c>
      <c r="R233" s="105">
        <f t="shared" si="45"/>
        <v>0.58454106280193241</v>
      </c>
      <c r="S233" s="131">
        <f t="shared" si="46"/>
        <v>2643.21</v>
      </c>
      <c r="T233" s="94">
        <f t="shared" si="47"/>
        <v>0.61050724637681164</v>
      </c>
      <c r="V233" s="82"/>
      <c r="W233" s="504">
        <v>185</v>
      </c>
      <c r="X233" s="506" t="s">
        <v>838</v>
      </c>
      <c r="Y233" s="508">
        <v>0</v>
      </c>
      <c r="Z233" s="403">
        <v>0</v>
      </c>
      <c r="AA233" s="407">
        <f t="shared" si="48"/>
        <v>0.61050724637681164</v>
      </c>
      <c r="AB233" s="411"/>
      <c r="AC233" s="446"/>
    </row>
    <row r="234" spans="1:29">
      <c r="A234" s="67">
        <v>186</v>
      </c>
      <c r="B234" s="74" t="s">
        <v>205</v>
      </c>
      <c r="C234" s="125" t="s">
        <v>365</v>
      </c>
      <c r="D234" s="387">
        <f t="shared" si="38"/>
        <v>0</v>
      </c>
      <c r="E234" s="104">
        <f t="shared" si="36"/>
        <v>4</v>
      </c>
      <c r="F234" s="83">
        <f t="shared" si="49"/>
        <v>6884.64</v>
      </c>
      <c r="G234" s="83">
        <f t="shared" si="39"/>
        <v>0</v>
      </c>
      <c r="H234" s="483">
        <f t="shared" si="40"/>
        <v>0</v>
      </c>
      <c r="I234" s="83">
        <f>+'Costo adq'!C223*$I$1</f>
        <v>7988.3680000000004</v>
      </c>
      <c r="J234" s="83">
        <f t="shared" si="41"/>
        <v>0</v>
      </c>
      <c r="L234" s="54">
        <f>VLOOKUP(A234,'Precios oferta'!$A$30:$U$436,$B$5,FALSE)</f>
        <v>18987.400000000001</v>
      </c>
      <c r="M234" s="48">
        <f>VLOOKUP(A234,'Precios piso'!$A$30:$U$436,$B$5,FALSE)</f>
        <v>9179.52</v>
      </c>
      <c r="N234" s="105">
        <f t="shared" si="42"/>
        <v>0.51654676258992804</v>
      </c>
      <c r="O234" s="131">
        <f t="shared" si="37"/>
        <v>8077.9776000000002</v>
      </c>
      <c r="P234" s="388">
        <f t="shared" si="43"/>
        <v>0.57456115107913663</v>
      </c>
      <c r="Q234" s="131">
        <f t="shared" si="44"/>
        <v>7343.616</v>
      </c>
      <c r="R234" s="105">
        <f t="shared" si="45"/>
        <v>0.61323741007194243</v>
      </c>
      <c r="S234" s="131">
        <f t="shared" si="46"/>
        <v>6884.64</v>
      </c>
      <c r="T234" s="94">
        <f t="shared" si="47"/>
        <v>0.63741007194244603</v>
      </c>
      <c r="V234" s="82"/>
      <c r="W234" s="504">
        <v>186</v>
      </c>
      <c r="X234" s="506" t="s">
        <v>839</v>
      </c>
      <c r="Y234" s="508">
        <v>0</v>
      </c>
      <c r="Z234" s="403">
        <v>0</v>
      </c>
      <c r="AA234" s="407">
        <f t="shared" si="48"/>
        <v>0.63741007194244603</v>
      </c>
      <c r="AB234" s="411"/>
      <c r="AC234" s="446"/>
    </row>
    <row r="235" spans="1:29">
      <c r="A235" s="67">
        <v>187</v>
      </c>
      <c r="B235" s="74" t="s">
        <v>206</v>
      </c>
      <c r="C235" s="125" t="s">
        <v>365</v>
      </c>
      <c r="D235" s="387">
        <f t="shared" si="38"/>
        <v>0</v>
      </c>
      <c r="E235" s="104">
        <f t="shared" si="36"/>
        <v>4</v>
      </c>
      <c r="F235" s="83">
        <f t="shared" si="49"/>
        <v>2643.21</v>
      </c>
      <c r="G235" s="83">
        <f t="shared" si="39"/>
        <v>0</v>
      </c>
      <c r="H235" s="483">
        <f t="shared" si="40"/>
        <v>0</v>
      </c>
      <c r="I235" s="83">
        <f>+'Costo adq'!C224*$I$1</f>
        <v>3455.4335999999998</v>
      </c>
      <c r="J235" s="83">
        <f t="shared" si="41"/>
        <v>0</v>
      </c>
      <c r="L235" s="54">
        <f>VLOOKUP(A235,'Precios oferta'!$A$30:$U$436,$B$5,FALSE)</f>
        <v>8331.5072</v>
      </c>
      <c r="M235" s="48">
        <f>VLOOKUP(A235,'Precios piso'!$A$30:$U$436,$B$5,FALSE)</f>
        <v>3524.2799999999997</v>
      </c>
      <c r="N235" s="105">
        <f t="shared" si="42"/>
        <v>0.57699370409234008</v>
      </c>
      <c r="O235" s="131">
        <f t="shared" si="37"/>
        <v>3101.3663999999999</v>
      </c>
      <c r="P235" s="388">
        <f t="shared" si="43"/>
        <v>0.6277544596012592</v>
      </c>
      <c r="Q235" s="131">
        <f t="shared" si="44"/>
        <v>2819.424</v>
      </c>
      <c r="R235" s="105">
        <f t="shared" si="45"/>
        <v>0.66159496327387202</v>
      </c>
      <c r="S235" s="131">
        <f t="shared" si="46"/>
        <v>2643.21</v>
      </c>
      <c r="T235" s="94">
        <f t="shared" si="47"/>
        <v>0.682745278069255</v>
      </c>
      <c r="V235" s="82"/>
      <c r="W235" s="504">
        <v>187</v>
      </c>
      <c r="X235" s="506" t="s">
        <v>840</v>
      </c>
      <c r="Y235" s="508">
        <v>0</v>
      </c>
      <c r="Z235" s="403">
        <v>0</v>
      </c>
      <c r="AA235" s="407">
        <f t="shared" si="48"/>
        <v>0.682745278069255</v>
      </c>
      <c r="AB235" s="411"/>
      <c r="AC235" s="446"/>
    </row>
    <row r="236" spans="1:29">
      <c r="A236" s="67">
        <v>188</v>
      </c>
      <c r="B236" s="74" t="s">
        <v>207</v>
      </c>
      <c r="C236" s="125" t="s">
        <v>365</v>
      </c>
      <c r="D236" s="387">
        <f t="shared" si="38"/>
        <v>0</v>
      </c>
      <c r="E236" s="104">
        <f t="shared" si="36"/>
        <v>4</v>
      </c>
      <c r="F236" s="83">
        <f t="shared" si="49"/>
        <v>3152.1815999999999</v>
      </c>
      <c r="G236" s="83">
        <f t="shared" si="39"/>
        <v>0</v>
      </c>
      <c r="H236" s="483">
        <f t="shared" si="40"/>
        <v>0</v>
      </c>
      <c r="I236" s="83">
        <f>+'Costo adq'!C225*$I$1</f>
        <v>7767.6224000000002</v>
      </c>
      <c r="J236" s="83">
        <f t="shared" si="41"/>
        <v>0</v>
      </c>
      <c r="L236" s="54">
        <f>VLOOKUP(A236,'Precios oferta'!$A$30:$U$436,$B$5,FALSE)</f>
        <v>15501.368</v>
      </c>
      <c r="M236" s="48">
        <f>VLOOKUP(A236,'Precios piso'!$A$30:$U$436,$B$5,FALSE)</f>
        <v>4202.9088000000002</v>
      </c>
      <c r="N236" s="105">
        <f t="shared" si="42"/>
        <v>0.72886852308776873</v>
      </c>
      <c r="O236" s="131">
        <f t="shared" si="37"/>
        <v>3698.5597440000001</v>
      </c>
      <c r="P236" s="388">
        <f t="shared" si="43"/>
        <v>0.76140430031723649</v>
      </c>
      <c r="Q236" s="131">
        <f t="shared" si="44"/>
        <v>3362.3270400000001</v>
      </c>
      <c r="R236" s="105">
        <f t="shared" si="45"/>
        <v>0.783094818470215</v>
      </c>
      <c r="S236" s="131">
        <f t="shared" si="46"/>
        <v>3152.1815999999999</v>
      </c>
      <c r="T236" s="94">
        <f t="shared" si="47"/>
        <v>0.7966513923158266</v>
      </c>
      <c r="V236" s="82"/>
      <c r="W236" s="504">
        <v>188</v>
      </c>
      <c r="X236" s="506" t="s">
        <v>841</v>
      </c>
      <c r="Y236" s="508">
        <v>0</v>
      </c>
      <c r="Z236" s="403">
        <v>0</v>
      </c>
      <c r="AA236" s="407">
        <f t="shared" si="48"/>
        <v>0.7966513923158266</v>
      </c>
      <c r="AB236" s="411"/>
      <c r="AC236" s="446"/>
    </row>
    <row r="237" spans="1:29">
      <c r="A237" s="67">
        <v>189</v>
      </c>
      <c r="B237" s="74" t="s">
        <v>208</v>
      </c>
      <c r="C237" s="125" t="s">
        <v>365</v>
      </c>
      <c r="D237" s="387">
        <f t="shared" si="38"/>
        <v>0</v>
      </c>
      <c r="E237" s="104">
        <f t="shared" si="36"/>
        <v>4</v>
      </c>
      <c r="F237" s="83">
        <f t="shared" si="49"/>
        <v>1514.6208000000001</v>
      </c>
      <c r="G237" s="83">
        <f t="shared" si="39"/>
        <v>0</v>
      </c>
      <c r="H237" s="483">
        <f t="shared" si="40"/>
        <v>0</v>
      </c>
      <c r="I237" s="83">
        <f>+'Costo adq'!C226*$I$1</f>
        <v>6808.1440000000002</v>
      </c>
      <c r="J237" s="83">
        <f t="shared" si="41"/>
        <v>0</v>
      </c>
      <c r="L237" s="54">
        <f>VLOOKUP(A237,'Precios oferta'!$A$30:$U$436,$B$5,FALSE)</f>
        <v>17665.112000000001</v>
      </c>
      <c r="M237" s="48">
        <f>VLOOKUP(A237,'Precios piso'!$A$30:$U$436,$B$5,FALSE)</f>
        <v>2019.4944</v>
      </c>
      <c r="N237" s="105">
        <f t="shared" si="42"/>
        <v>0.88567893597278069</v>
      </c>
      <c r="O237" s="131">
        <f t="shared" si="37"/>
        <v>1777.155072</v>
      </c>
      <c r="P237" s="388">
        <f t="shared" si="43"/>
        <v>0.899397463656047</v>
      </c>
      <c r="Q237" s="131">
        <f t="shared" si="44"/>
        <v>1615.5955200000001</v>
      </c>
      <c r="R237" s="105">
        <f t="shared" si="45"/>
        <v>0.90854314877822451</v>
      </c>
      <c r="S237" s="131">
        <f t="shared" si="46"/>
        <v>1514.6208000000001</v>
      </c>
      <c r="T237" s="94">
        <f t="shared" si="47"/>
        <v>0.91425920197958555</v>
      </c>
      <c r="V237" s="82"/>
      <c r="W237" s="504">
        <v>189</v>
      </c>
      <c r="X237" s="506" t="s">
        <v>842</v>
      </c>
      <c r="Y237" s="508">
        <v>0</v>
      </c>
      <c r="Z237" s="403">
        <v>0</v>
      </c>
      <c r="AA237" s="407">
        <f t="shared" si="48"/>
        <v>0.91425920197958555</v>
      </c>
      <c r="AB237" s="411"/>
      <c r="AC237" s="446"/>
    </row>
    <row r="238" spans="1:29">
      <c r="A238" s="67">
        <v>190</v>
      </c>
      <c r="B238" s="74" t="s">
        <v>209</v>
      </c>
      <c r="C238" s="125" t="s">
        <v>365</v>
      </c>
      <c r="D238" s="387">
        <f t="shared" si="38"/>
        <v>0</v>
      </c>
      <c r="E238" s="104">
        <f t="shared" si="36"/>
        <v>4</v>
      </c>
      <c r="F238" s="83">
        <f t="shared" si="49"/>
        <v>367.18079999999998</v>
      </c>
      <c r="G238" s="83">
        <f t="shared" si="39"/>
        <v>0</v>
      </c>
      <c r="H238" s="483">
        <f t="shared" si="40"/>
        <v>0</v>
      </c>
      <c r="I238" s="83">
        <f>+'Costo adq'!C227*$I$1</f>
        <v>540.93600000000004</v>
      </c>
      <c r="J238" s="83">
        <f t="shared" si="41"/>
        <v>0</v>
      </c>
      <c r="L238" s="54">
        <f>VLOOKUP(A238,'Precios oferta'!$A$30:$U$436,$B$5,FALSE)</f>
        <v>2003.1024</v>
      </c>
      <c r="M238" s="48">
        <f>VLOOKUP(A238,'Precios piso'!$A$30:$U$436,$B$5,FALSE)</f>
        <v>489.57439999999997</v>
      </c>
      <c r="N238" s="105">
        <f t="shared" si="42"/>
        <v>0.75559192580469181</v>
      </c>
      <c r="O238" s="131">
        <f t="shared" si="37"/>
        <v>430.82547199999999</v>
      </c>
      <c r="P238" s="388">
        <f t="shared" si="43"/>
        <v>0.78492089470812876</v>
      </c>
      <c r="Q238" s="131">
        <f t="shared" si="44"/>
        <v>391.65951999999999</v>
      </c>
      <c r="R238" s="105">
        <f t="shared" si="45"/>
        <v>0.80447354064375343</v>
      </c>
      <c r="S238" s="131">
        <f t="shared" si="46"/>
        <v>367.18079999999998</v>
      </c>
      <c r="T238" s="94">
        <f t="shared" si="47"/>
        <v>0.81669394435351883</v>
      </c>
      <c r="V238" s="82"/>
      <c r="W238" s="504">
        <v>190</v>
      </c>
      <c r="X238" s="506" t="s">
        <v>843</v>
      </c>
      <c r="Y238" s="508">
        <v>0</v>
      </c>
      <c r="Z238" s="403">
        <v>0</v>
      </c>
      <c r="AA238" s="407">
        <f t="shared" si="48"/>
        <v>0.81669394435351883</v>
      </c>
      <c r="AB238" s="411"/>
      <c r="AC238" s="446"/>
    </row>
    <row r="239" spans="1:29">
      <c r="A239" s="67">
        <v>191</v>
      </c>
      <c r="B239" s="74" t="s">
        <v>210</v>
      </c>
      <c r="C239" s="125" t="s">
        <v>365</v>
      </c>
      <c r="D239" s="387">
        <f t="shared" si="38"/>
        <v>0</v>
      </c>
      <c r="E239" s="104">
        <f t="shared" si="36"/>
        <v>4</v>
      </c>
      <c r="F239" s="83">
        <f t="shared" si="49"/>
        <v>855.66239999999993</v>
      </c>
      <c r="G239" s="83">
        <f t="shared" si="39"/>
        <v>0</v>
      </c>
      <c r="H239" s="483">
        <f t="shared" si="40"/>
        <v>0</v>
      </c>
      <c r="I239" s="83">
        <f>+'Costo adq'!C228*$I$1</f>
        <v>1199.8943999999999</v>
      </c>
      <c r="J239" s="83">
        <f t="shared" si="41"/>
        <v>0</v>
      </c>
      <c r="L239" s="54">
        <f>VLOOKUP(A239,'Precios oferta'!$A$30:$U$436,$B$5,FALSE)</f>
        <v>3572.3631999999998</v>
      </c>
      <c r="M239" s="48">
        <f>VLOOKUP(A239,'Precios piso'!$A$30:$U$436,$B$5,FALSE)</f>
        <v>1140.8832</v>
      </c>
      <c r="N239" s="105">
        <f t="shared" si="42"/>
        <v>0.68063628020801459</v>
      </c>
      <c r="O239" s="131">
        <f t="shared" si="37"/>
        <v>1003.977216</v>
      </c>
      <c r="P239" s="388">
        <f t="shared" si="43"/>
        <v>0.71895992658305286</v>
      </c>
      <c r="Q239" s="131">
        <f t="shared" si="44"/>
        <v>912.70655999999997</v>
      </c>
      <c r="R239" s="105">
        <f t="shared" si="45"/>
        <v>0.74450902416641174</v>
      </c>
      <c r="S239" s="131">
        <f t="shared" si="46"/>
        <v>855.66239999999993</v>
      </c>
      <c r="T239" s="94">
        <f t="shared" si="47"/>
        <v>0.760477210156011</v>
      </c>
      <c r="V239" s="82"/>
      <c r="W239" s="504">
        <v>191</v>
      </c>
      <c r="X239" s="506" t="s">
        <v>844</v>
      </c>
      <c r="Y239" s="508">
        <v>0</v>
      </c>
      <c r="Z239" s="403">
        <v>0</v>
      </c>
      <c r="AA239" s="407">
        <f t="shared" si="48"/>
        <v>0.760477210156011</v>
      </c>
      <c r="AB239" s="411"/>
      <c r="AC239" s="446"/>
    </row>
    <row r="240" spans="1:29">
      <c r="A240" s="67">
        <v>192</v>
      </c>
      <c r="B240" s="74" t="s">
        <v>211</v>
      </c>
      <c r="C240" s="125" t="s">
        <v>365</v>
      </c>
      <c r="D240" s="387">
        <f t="shared" si="38"/>
        <v>0</v>
      </c>
      <c r="E240" s="104">
        <f t="shared" si="36"/>
        <v>4</v>
      </c>
      <c r="F240" s="83">
        <f t="shared" si="49"/>
        <v>1163.0124000000001</v>
      </c>
      <c r="G240" s="83">
        <f t="shared" si="39"/>
        <v>0</v>
      </c>
      <c r="H240" s="483">
        <f t="shared" si="40"/>
        <v>0</v>
      </c>
      <c r="I240" s="83">
        <f>+'Costo adq'!C229*$I$1</f>
        <v>1630.4576</v>
      </c>
      <c r="J240" s="83">
        <f t="shared" si="41"/>
        <v>0</v>
      </c>
      <c r="L240" s="54">
        <f>VLOOKUP(A240,'Precios oferta'!$A$30:$U$436,$B$5,FALSE)</f>
        <v>3869.6048000000001</v>
      </c>
      <c r="M240" s="48">
        <f>VLOOKUP(A240,'Precios piso'!$A$30:$U$436,$B$5,FALSE)</f>
        <v>1550.6831999999999</v>
      </c>
      <c r="N240" s="105">
        <f t="shared" si="42"/>
        <v>0.5992657441400735</v>
      </c>
      <c r="O240" s="131">
        <f t="shared" si="37"/>
        <v>1364.601216</v>
      </c>
      <c r="P240" s="388">
        <f t="shared" si="43"/>
        <v>0.64735385484326469</v>
      </c>
      <c r="Q240" s="131">
        <f t="shared" si="44"/>
        <v>1240.54656</v>
      </c>
      <c r="R240" s="105">
        <f t="shared" si="45"/>
        <v>0.67941259531205866</v>
      </c>
      <c r="S240" s="131">
        <f t="shared" si="46"/>
        <v>1163.0124000000001</v>
      </c>
      <c r="T240" s="94">
        <f t="shared" si="47"/>
        <v>0.69944930810505501</v>
      </c>
      <c r="V240" s="82"/>
      <c r="W240" s="504">
        <v>192</v>
      </c>
      <c r="X240" s="506" t="s">
        <v>845</v>
      </c>
      <c r="Y240" s="508">
        <v>0</v>
      </c>
      <c r="Z240" s="403">
        <v>0</v>
      </c>
      <c r="AA240" s="407">
        <f t="shared" si="48"/>
        <v>0.69944930810505501</v>
      </c>
      <c r="AB240" s="411"/>
      <c r="AC240" s="446"/>
    </row>
    <row r="241" spans="1:29">
      <c r="A241" s="67">
        <v>193</v>
      </c>
      <c r="B241" s="74" t="s">
        <v>212</v>
      </c>
      <c r="C241" s="125" t="s">
        <v>365</v>
      </c>
      <c r="D241" s="387">
        <f t="shared" si="38"/>
        <v>65</v>
      </c>
      <c r="E241" s="104">
        <f t="shared" ref="E241:E255" si="50">$B$6</f>
        <v>4</v>
      </c>
      <c r="F241" s="83">
        <f t="shared" si="49"/>
        <v>7787.8391999999994</v>
      </c>
      <c r="G241" s="83">
        <f t="shared" si="39"/>
        <v>2024838.1919999998</v>
      </c>
      <c r="H241" s="483">
        <f t="shared" si="40"/>
        <v>0</v>
      </c>
      <c r="I241" s="83">
        <f>+'Costo adq'!C230*$I$1</f>
        <v>12660.088</v>
      </c>
      <c r="J241" s="83">
        <f t="shared" si="41"/>
        <v>3291622.88</v>
      </c>
      <c r="L241" s="54">
        <f>VLOOKUP(A241,'Precios oferta'!$A$30:$U$436,$B$5,FALSE)</f>
        <v>25379.1872</v>
      </c>
      <c r="M241" s="48">
        <f>VLOOKUP(A241,'Precios piso'!$A$30:$U$436,$B$5,FALSE)</f>
        <v>10383.785599999999</v>
      </c>
      <c r="N241" s="105">
        <f t="shared" si="42"/>
        <v>0.59085428866689638</v>
      </c>
      <c r="O241" s="131">
        <f t="shared" ref="O241:O255" si="51">+M241-(M241*$N$481)</f>
        <v>9137.7313279999998</v>
      </c>
      <c r="P241" s="388">
        <f t="shared" si="43"/>
        <v>0.63995177402686876</v>
      </c>
      <c r="Q241" s="131">
        <f t="shared" si="44"/>
        <v>8307.028479999999</v>
      </c>
      <c r="R241" s="105">
        <f t="shared" si="45"/>
        <v>0.67268343093351701</v>
      </c>
      <c r="S241" s="131">
        <f t="shared" si="46"/>
        <v>7787.8391999999994</v>
      </c>
      <c r="T241" s="94">
        <f t="shared" si="47"/>
        <v>0.69314071650017228</v>
      </c>
      <c r="V241" s="82"/>
      <c r="W241" s="504">
        <v>193</v>
      </c>
      <c r="X241" s="506" t="s">
        <v>846</v>
      </c>
      <c r="Y241" s="508">
        <v>65</v>
      </c>
      <c r="Z241" s="403">
        <v>0</v>
      </c>
      <c r="AA241" s="407">
        <f t="shared" si="48"/>
        <v>0.69314071650017228</v>
      </c>
      <c r="AB241" s="411"/>
      <c r="AC241" s="446"/>
    </row>
    <row r="242" spans="1:29">
      <c r="A242" s="67">
        <v>194</v>
      </c>
      <c r="B242" s="74" t="s">
        <v>213</v>
      </c>
      <c r="C242" s="125" t="s">
        <v>365</v>
      </c>
      <c r="D242" s="387">
        <f t="shared" ref="D242:D255" si="52">VLOOKUP(A242,$W$49:$Y$455,3,FALSE)</f>
        <v>0</v>
      </c>
      <c r="E242" s="104">
        <f t="shared" si="50"/>
        <v>4</v>
      </c>
      <c r="F242" s="83">
        <f t="shared" si="49"/>
        <v>10121.240399999999</v>
      </c>
      <c r="G242" s="83">
        <f t="shared" ref="G242:G255" si="53">F242*E242*D242</f>
        <v>0</v>
      </c>
      <c r="H242" s="483">
        <f t="shared" ref="H242:H255" si="54">+F242-S242</f>
        <v>0</v>
      </c>
      <c r="I242" s="83">
        <f>+'Costo adq'!C231*$I$1</f>
        <v>6892.2896000000001</v>
      </c>
      <c r="J242" s="83">
        <f t="shared" ref="J242:J255" si="55">I242*E242*D242</f>
        <v>0</v>
      </c>
      <c r="L242" s="54">
        <f>VLOOKUP(A242,'Precios oferta'!$A$30:$U$436,$B$5,FALSE)</f>
        <v>36033.987200000003</v>
      </c>
      <c r="M242" s="48">
        <f>VLOOKUP(A242,'Precios piso'!$A$30:$U$436,$B$5,FALSE)</f>
        <v>13494.9872</v>
      </c>
      <c r="N242" s="105">
        <f t="shared" ref="N242:N255" si="56">1-(M242/L242)</f>
        <v>0.62549281251895439</v>
      </c>
      <c r="O242" s="131">
        <f t="shared" si="51"/>
        <v>11875.588736</v>
      </c>
      <c r="P242" s="388">
        <f t="shared" ref="P242:P255" si="57">1-(O242/L242)</f>
        <v>0.67043367501667983</v>
      </c>
      <c r="Q242" s="131">
        <f t="shared" ref="Q242:Q255" si="58">+M242-(M242*20%)</f>
        <v>10795.98976</v>
      </c>
      <c r="R242" s="105">
        <f t="shared" ref="R242:R255" si="59">1-(Q242/L242)</f>
        <v>0.70039425001516342</v>
      </c>
      <c r="S242" s="131">
        <f t="shared" ref="S242:S305" si="60">+M242-(M242*25%)</f>
        <v>10121.240399999999</v>
      </c>
      <c r="T242" s="94">
        <f t="shared" ref="T242:T305" si="61">1-(S242/L242)</f>
        <v>0.71911960938921582</v>
      </c>
      <c r="V242" s="82"/>
      <c r="W242" s="504">
        <v>194</v>
      </c>
      <c r="X242" s="506" t="s">
        <v>847</v>
      </c>
      <c r="Y242" s="508">
        <v>0</v>
      </c>
      <c r="Z242" s="403">
        <v>0</v>
      </c>
      <c r="AA242" s="407">
        <f t="shared" ref="AA242:AA305" si="62">VLOOKUP(W242,$A$49:$T$459,$AB$48,FALSE)</f>
        <v>0.71911960938921582</v>
      </c>
      <c r="AB242" s="411"/>
      <c r="AC242" s="446"/>
    </row>
    <row r="243" spans="1:29">
      <c r="A243" s="67">
        <v>195</v>
      </c>
      <c r="B243" s="74" t="s">
        <v>214</v>
      </c>
      <c r="C243" s="125" t="s">
        <v>365</v>
      </c>
      <c r="D243" s="387">
        <f t="shared" si="52"/>
        <v>0</v>
      </c>
      <c r="E243" s="104">
        <f t="shared" si="50"/>
        <v>4</v>
      </c>
      <c r="F243" s="83">
        <f t="shared" ref="F243:F255" si="63">IF($K$478=$L$48,L243,IF($K$478=$M$48,M243,IF($K$478=$O$48,O243,IF($K$478=$Q$48,Q243,IF($K$478=$S$48,S243,"ERROR")))))</f>
        <v>714.69119999999998</v>
      </c>
      <c r="G243" s="83">
        <f t="shared" si="53"/>
        <v>0</v>
      </c>
      <c r="H243" s="483">
        <f t="shared" si="54"/>
        <v>0</v>
      </c>
      <c r="I243" s="83">
        <f>+'Costo adq'!C232*$I$1</f>
        <v>2340.7775999999999</v>
      </c>
      <c r="J243" s="83">
        <f t="shared" si="55"/>
        <v>0</v>
      </c>
      <c r="L243" s="54">
        <f>VLOOKUP(A243,'Precios oferta'!$A$30:$U$436,$B$5,FALSE)</f>
        <v>18060.705600000001</v>
      </c>
      <c r="M243" s="48">
        <f>VLOOKUP(A243,'Precios piso'!$A$30:$U$436,$B$5,FALSE)</f>
        <v>952.92160000000001</v>
      </c>
      <c r="N243" s="105">
        <f t="shared" si="56"/>
        <v>0.94723785320989895</v>
      </c>
      <c r="O243" s="131">
        <f t="shared" si="51"/>
        <v>838.57100800000001</v>
      </c>
      <c r="P243" s="388">
        <f t="shared" si="57"/>
        <v>0.95356931082471108</v>
      </c>
      <c r="Q243" s="131">
        <f t="shared" si="58"/>
        <v>762.33727999999996</v>
      </c>
      <c r="R243" s="105">
        <f t="shared" si="59"/>
        <v>0.9577902825679192</v>
      </c>
      <c r="S243" s="131">
        <f t="shared" si="60"/>
        <v>714.69119999999998</v>
      </c>
      <c r="T243" s="94">
        <f t="shared" si="61"/>
        <v>0.96042838990742418</v>
      </c>
      <c r="V243" s="82"/>
      <c r="W243" s="504">
        <v>195</v>
      </c>
      <c r="X243" s="506" t="s">
        <v>848</v>
      </c>
      <c r="Y243" s="508">
        <v>0</v>
      </c>
      <c r="Z243" s="403">
        <v>0</v>
      </c>
      <c r="AA243" s="407">
        <f t="shared" si="62"/>
        <v>0.96042838990742418</v>
      </c>
      <c r="AB243" s="411"/>
      <c r="AC243" s="446"/>
    </row>
    <row r="244" spans="1:29">
      <c r="A244" s="67">
        <v>196</v>
      </c>
      <c r="B244" s="74" t="s">
        <v>215</v>
      </c>
      <c r="C244" s="125" t="s">
        <v>365</v>
      </c>
      <c r="D244" s="387">
        <f t="shared" si="52"/>
        <v>0</v>
      </c>
      <c r="E244" s="104">
        <f t="shared" si="50"/>
        <v>4</v>
      </c>
      <c r="F244" s="83">
        <f t="shared" si="63"/>
        <v>2628.4571999999998</v>
      </c>
      <c r="G244" s="83">
        <f t="shared" si="53"/>
        <v>0</v>
      </c>
      <c r="H244" s="483">
        <f t="shared" si="54"/>
        <v>0</v>
      </c>
      <c r="I244" s="83">
        <f>+'Costo adq'!C233*$I$1</f>
        <v>8268.1247999999996</v>
      </c>
      <c r="J244" s="83">
        <f t="shared" si="55"/>
        <v>0</v>
      </c>
      <c r="L244" s="54">
        <f>VLOOKUP(A244,'Precios oferta'!$A$30:$U$436,$B$5,FALSE)</f>
        <v>13103.764800000001</v>
      </c>
      <c r="M244" s="48">
        <f>VLOOKUP(A244,'Precios piso'!$A$30:$U$436,$B$5,FALSE)</f>
        <v>3504.6095999999998</v>
      </c>
      <c r="N244" s="105">
        <f t="shared" si="56"/>
        <v>0.73254941205904434</v>
      </c>
      <c r="O244" s="131">
        <f t="shared" si="51"/>
        <v>3084.0564479999998</v>
      </c>
      <c r="P244" s="388">
        <f t="shared" si="57"/>
        <v>0.76464348261195902</v>
      </c>
      <c r="Q244" s="131">
        <f t="shared" si="58"/>
        <v>2803.68768</v>
      </c>
      <c r="R244" s="105">
        <f t="shared" si="59"/>
        <v>0.78603952964723545</v>
      </c>
      <c r="S244" s="131">
        <f t="shared" si="60"/>
        <v>2628.4571999999998</v>
      </c>
      <c r="T244" s="94">
        <f t="shared" si="61"/>
        <v>0.79941205904428325</v>
      </c>
      <c r="V244" s="82"/>
      <c r="W244" s="504">
        <v>196</v>
      </c>
      <c r="X244" s="506" t="s">
        <v>849</v>
      </c>
      <c r="Y244" s="508">
        <v>0</v>
      </c>
      <c r="Z244" s="403">
        <v>0</v>
      </c>
      <c r="AA244" s="407">
        <f t="shared" si="62"/>
        <v>0.79941205904428325</v>
      </c>
      <c r="AB244" s="411"/>
      <c r="AC244" s="446"/>
    </row>
    <row r="245" spans="1:29">
      <c r="A245" s="67">
        <v>197</v>
      </c>
      <c r="B245" s="74" t="s">
        <v>216</v>
      </c>
      <c r="C245" s="125" t="s">
        <v>365</v>
      </c>
      <c r="D245" s="387">
        <f t="shared" si="52"/>
        <v>5</v>
      </c>
      <c r="E245" s="104">
        <f t="shared" si="50"/>
        <v>4</v>
      </c>
      <c r="F245" s="83">
        <f t="shared" si="63"/>
        <v>40022.707199999997</v>
      </c>
      <c r="G245" s="83">
        <f t="shared" si="53"/>
        <v>800454.14399999997</v>
      </c>
      <c r="H245" s="483">
        <f t="shared" si="54"/>
        <v>0</v>
      </c>
      <c r="I245" s="83">
        <f>+'Costo adq'!C234*$I$1</f>
        <v>53547.199999999997</v>
      </c>
      <c r="J245" s="83">
        <f t="shared" si="55"/>
        <v>1070944</v>
      </c>
      <c r="L245" s="54">
        <f>VLOOKUP(A245,'Precios oferta'!$A$30:$U$436,$B$5,FALSE)</f>
        <v>100574.7552</v>
      </c>
      <c r="M245" s="48">
        <f>VLOOKUP(A245,'Precios piso'!$A$30:$U$436,$B$5,FALSE)</f>
        <v>53363.609599999996</v>
      </c>
      <c r="N245" s="105">
        <f t="shared" si="56"/>
        <v>0.46941347762783325</v>
      </c>
      <c r="O245" s="131">
        <f t="shared" si="51"/>
        <v>46959.976447999994</v>
      </c>
      <c r="P245" s="388">
        <f t="shared" si="57"/>
        <v>0.53308386031249322</v>
      </c>
      <c r="Q245" s="131">
        <f t="shared" si="58"/>
        <v>42690.88768</v>
      </c>
      <c r="R245" s="105">
        <f t="shared" si="59"/>
        <v>0.5755307821022666</v>
      </c>
      <c r="S245" s="131">
        <f t="shared" si="60"/>
        <v>40022.707199999997</v>
      </c>
      <c r="T245" s="94">
        <f t="shared" si="61"/>
        <v>0.60206010822087497</v>
      </c>
      <c r="V245" s="82"/>
      <c r="W245" s="504">
        <v>197</v>
      </c>
      <c r="X245" s="506" t="s">
        <v>850</v>
      </c>
      <c r="Y245" s="508">
        <v>5</v>
      </c>
      <c r="Z245" s="403">
        <v>0</v>
      </c>
      <c r="AA245" s="407">
        <f t="shared" si="62"/>
        <v>0.60206010822087497</v>
      </c>
      <c r="AB245" s="411"/>
      <c r="AC245" s="446"/>
    </row>
    <row r="246" spans="1:29">
      <c r="A246" s="67">
        <v>198</v>
      </c>
      <c r="B246" s="74" t="s">
        <v>217</v>
      </c>
      <c r="C246" s="125" t="s">
        <v>365</v>
      </c>
      <c r="D246" s="387">
        <f t="shared" si="52"/>
        <v>3</v>
      </c>
      <c r="E246" s="104">
        <f t="shared" si="50"/>
        <v>4</v>
      </c>
      <c r="F246" s="83">
        <f t="shared" si="63"/>
        <v>26783.7084</v>
      </c>
      <c r="G246" s="83">
        <f t="shared" si="53"/>
        <v>321404.50079999998</v>
      </c>
      <c r="H246" s="483">
        <f t="shared" si="54"/>
        <v>0</v>
      </c>
      <c r="I246" s="83">
        <f>+'Costo adq'!C235*$I$1</f>
        <v>37679.743999999999</v>
      </c>
      <c r="J246" s="83">
        <f t="shared" si="55"/>
        <v>452156.92799999996</v>
      </c>
      <c r="L246" s="54">
        <f>VLOOKUP(A246,'Precios oferta'!$A$30:$U$436,$B$5,FALSE)</f>
        <v>84542.286399999997</v>
      </c>
      <c r="M246" s="48">
        <f>VLOOKUP(A246,'Precios piso'!$A$30:$U$436,$B$5,FALSE)</f>
        <v>35711.611199999999</v>
      </c>
      <c r="N246" s="105">
        <f t="shared" si="56"/>
        <v>0.57758876982536878</v>
      </c>
      <c r="O246" s="131">
        <f t="shared" si="51"/>
        <v>31426.217855999999</v>
      </c>
      <c r="P246" s="388">
        <f t="shared" si="57"/>
        <v>0.62827811744632445</v>
      </c>
      <c r="Q246" s="131">
        <f t="shared" si="58"/>
        <v>28569.288959999998</v>
      </c>
      <c r="R246" s="105">
        <f t="shared" si="59"/>
        <v>0.66207101586029493</v>
      </c>
      <c r="S246" s="131">
        <f t="shared" si="60"/>
        <v>26783.7084</v>
      </c>
      <c r="T246" s="94">
        <f t="shared" si="61"/>
        <v>0.68319157736902647</v>
      </c>
      <c r="V246" s="82"/>
      <c r="W246" s="504">
        <v>198</v>
      </c>
      <c r="X246" s="506" t="s">
        <v>851</v>
      </c>
      <c r="Y246" s="508">
        <v>3</v>
      </c>
      <c r="Z246" s="403">
        <v>0</v>
      </c>
      <c r="AA246" s="407">
        <f t="shared" si="62"/>
        <v>0.68319157736902647</v>
      </c>
      <c r="AB246" s="411"/>
      <c r="AC246" s="446"/>
    </row>
    <row r="247" spans="1:29">
      <c r="A247" s="67">
        <v>199</v>
      </c>
      <c r="B247" s="74" t="s">
        <v>218</v>
      </c>
      <c r="C247" s="125" t="s">
        <v>365</v>
      </c>
      <c r="D247" s="387">
        <f t="shared" si="52"/>
        <v>0</v>
      </c>
      <c r="E247" s="104">
        <f t="shared" si="50"/>
        <v>4</v>
      </c>
      <c r="F247" s="83">
        <f t="shared" si="63"/>
        <v>14020.897200000001</v>
      </c>
      <c r="G247" s="83">
        <f t="shared" si="53"/>
        <v>0</v>
      </c>
      <c r="H247" s="483">
        <f t="shared" si="54"/>
        <v>0</v>
      </c>
      <c r="I247" s="83">
        <f>+'Costo adq'!C236*$I$1</f>
        <v>24719.135999999999</v>
      </c>
      <c r="J247" s="83">
        <f t="shared" si="55"/>
        <v>0</v>
      </c>
      <c r="L247" s="54">
        <f>VLOOKUP(A247,'Precios oferta'!$A$30:$U$436,$B$5,FALSE)</f>
        <v>56616.875200000002</v>
      </c>
      <c r="M247" s="48">
        <f>VLOOKUP(A247,'Precios piso'!$A$30:$U$436,$B$5,FALSE)</f>
        <v>18694.529600000002</v>
      </c>
      <c r="N247" s="105">
        <f t="shared" si="56"/>
        <v>0.66980640429269045</v>
      </c>
      <c r="O247" s="131">
        <f t="shared" si="51"/>
        <v>16451.186048000003</v>
      </c>
      <c r="P247" s="388">
        <f t="shared" si="57"/>
        <v>0.70942963577756757</v>
      </c>
      <c r="Q247" s="131">
        <f t="shared" si="58"/>
        <v>14955.623680000001</v>
      </c>
      <c r="R247" s="105">
        <f t="shared" si="59"/>
        <v>0.73584512343415232</v>
      </c>
      <c r="S247" s="131">
        <f t="shared" si="60"/>
        <v>14020.897200000001</v>
      </c>
      <c r="T247" s="94">
        <f t="shared" si="61"/>
        <v>0.75235480321951786</v>
      </c>
      <c r="V247" s="82"/>
      <c r="W247" s="504">
        <v>199</v>
      </c>
      <c r="X247" s="506" t="s">
        <v>852</v>
      </c>
      <c r="Y247" s="508">
        <v>0</v>
      </c>
      <c r="Z247" s="403">
        <v>0</v>
      </c>
      <c r="AA247" s="407">
        <f t="shared" si="62"/>
        <v>0.75235480321951786</v>
      </c>
      <c r="AB247" s="411"/>
      <c r="AC247" s="446"/>
    </row>
    <row r="248" spans="1:29">
      <c r="A248" s="67">
        <v>200</v>
      </c>
      <c r="B248" s="74" t="s">
        <v>219</v>
      </c>
      <c r="C248" s="125" t="s">
        <v>365</v>
      </c>
      <c r="D248" s="387">
        <f t="shared" si="52"/>
        <v>0</v>
      </c>
      <c r="E248" s="104">
        <f t="shared" si="50"/>
        <v>4</v>
      </c>
      <c r="F248" s="83">
        <f t="shared" si="63"/>
        <v>15088.835999999999</v>
      </c>
      <c r="G248" s="83">
        <f t="shared" si="53"/>
        <v>0</v>
      </c>
      <c r="H248" s="483">
        <f t="shared" si="54"/>
        <v>0</v>
      </c>
      <c r="I248" s="83">
        <f>+'Costo adq'!C237*$I$1</f>
        <v>18719.664000000001</v>
      </c>
      <c r="J248" s="83">
        <f t="shared" si="55"/>
        <v>0</v>
      </c>
      <c r="L248" s="54">
        <f>VLOOKUP(A248,'Precios oferta'!$A$30:$U$436,$B$5,FALSE)</f>
        <v>50189.025600000001</v>
      </c>
      <c r="M248" s="48">
        <f>VLOOKUP(A248,'Precios piso'!$A$30:$U$436,$B$5,FALSE)</f>
        <v>20118.448</v>
      </c>
      <c r="N248" s="105">
        <f t="shared" si="56"/>
        <v>0.59914647157445511</v>
      </c>
      <c r="O248" s="131">
        <f t="shared" si="51"/>
        <v>17704.234240000002</v>
      </c>
      <c r="P248" s="388">
        <f t="shared" si="57"/>
        <v>0.64724889498552041</v>
      </c>
      <c r="Q248" s="131">
        <f t="shared" si="58"/>
        <v>16094.758400000001</v>
      </c>
      <c r="R248" s="105">
        <f t="shared" si="59"/>
        <v>0.67931717725956409</v>
      </c>
      <c r="S248" s="131">
        <f t="shared" si="60"/>
        <v>15088.835999999999</v>
      </c>
      <c r="T248" s="94">
        <f t="shared" si="61"/>
        <v>0.69935985368084141</v>
      </c>
      <c r="V248" s="82"/>
      <c r="W248" s="504">
        <v>200</v>
      </c>
      <c r="X248" s="506" t="s">
        <v>853</v>
      </c>
      <c r="Y248" s="508">
        <v>0</v>
      </c>
      <c r="Z248" s="403">
        <v>0</v>
      </c>
      <c r="AA248" s="407">
        <f t="shared" si="62"/>
        <v>0.69935985368084141</v>
      </c>
      <c r="AB248" s="411"/>
      <c r="AC248" s="446"/>
    </row>
    <row r="249" spans="1:29">
      <c r="A249" s="67">
        <v>201</v>
      </c>
      <c r="B249" s="74" t="s">
        <v>220</v>
      </c>
      <c r="C249" s="125" t="s">
        <v>365</v>
      </c>
      <c r="D249" s="387">
        <f t="shared" si="52"/>
        <v>4</v>
      </c>
      <c r="E249" s="104">
        <f t="shared" si="50"/>
        <v>4</v>
      </c>
      <c r="F249" s="83">
        <f t="shared" si="63"/>
        <v>2139.9755999999998</v>
      </c>
      <c r="G249" s="83">
        <f t="shared" si="53"/>
        <v>34239.609599999996</v>
      </c>
      <c r="H249" s="483">
        <f t="shared" si="54"/>
        <v>0</v>
      </c>
      <c r="I249" s="83">
        <f>+'Costo adq'!C238*$I$1</f>
        <v>4902.3008</v>
      </c>
      <c r="J249" s="83">
        <f t="shared" si="55"/>
        <v>78436.8128</v>
      </c>
      <c r="L249" s="54">
        <f>VLOOKUP(A249,'Precios oferta'!$A$30:$U$436,$B$5,FALSE)</f>
        <v>5241.0688</v>
      </c>
      <c r="M249" s="48">
        <f>VLOOKUP(A249,'Precios piso'!$A$30:$U$436,$B$5,FALSE)</f>
        <v>2853.3008</v>
      </c>
      <c r="N249" s="105">
        <f t="shared" si="56"/>
        <v>0.45558798999165973</v>
      </c>
      <c r="O249" s="131">
        <f t="shared" si="51"/>
        <v>2510.904704</v>
      </c>
      <c r="P249" s="388">
        <f t="shared" si="57"/>
        <v>0.52091743119266054</v>
      </c>
      <c r="Q249" s="131">
        <f t="shared" si="58"/>
        <v>2282.6406400000001</v>
      </c>
      <c r="R249" s="105">
        <f t="shared" si="59"/>
        <v>0.56447039199332782</v>
      </c>
      <c r="S249" s="131">
        <f t="shared" si="60"/>
        <v>2139.9755999999998</v>
      </c>
      <c r="T249" s="94">
        <f t="shared" si="61"/>
        <v>0.59169099249374479</v>
      </c>
      <c r="V249" s="82"/>
      <c r="W249" s="504">
        <v>201</v>
      </c>
      <c r="X249" s="506" t="s">
        <v>854</v>
      </c>
      <c r="Y249" s="508">
        <v>4</v>
      </c>
      <c r="Z249" s="403">
        <v>0</v>
      </c>
      <c r="AA249" s="407">
        <f t="shared" si="62"/>
        <v>0.59169099249374479</v>
      </c>
      <c r="AB249" s="411"/>
      <c r="AC249" s="446"/>
    </row>
    <row r="250" spans="1:29">
      <c r="A250" s="67">
        <v>202</v>
      </c>
      <c r="B250" s="74" t="s">
        <v>221</v>
      </c>
      <c r="C250" s="125" t="s">
        <v>365</v>
      </c>
      <c r="D250" s="387">
        <f t="shared" si="52"/>
        <v>0</v>
      </c>
      <c r="E250" s="104">
        <f t="shared" si="50"/>
        <v>4</v>
      </c>
      <c r="F250" s="83">
        <f t="shared" si="63"/>
        <v>3469.3667999999998</v>
      </c>
      <c r="G250" s="83">
        <f t="shared" si="53"/>
        <v>0</v>
      </c>
      <c r="H250" s="483">
        <f t="shared" si="54"/>
        <v>0</v>
      </c>
      <c r="I250" s="83">
        <f>+'Costo adq'!C239*$I$1</f>
        <v>11277.696</v>
      </c>
      <c r="J250" s="83">
        <f t="shared" si="55"/>
        <v>0</v>
      </c>
      <c r="L250" s="54">
        <f>VLOOKUP(A250,'Precios oferta'!$A$30:$U$436,$B$5,FALSE)</f>
        <v>15675.1232</v>
      </c>
      <c r="M250" s="48">
        <f>VLOOKUP(A250,'Precios piso'!$A$30:$U$436,$B$5,FALSE)</f>
        <v>4625.8224</v>
      </c>
      <c r="N250" s="105">
        <f t="shared" si="56"/>
        <v>0.70489403234802006</v>
      </c>
      <c r="O250" s="131">
        <f t="shared" si="51"/>
        <v>4070.723712</v>
      </c>
      <c r="P250" s="388">
        <f t="shared" si="57"/>
        <v>0.74030674846625766</v>
      </c>
      <c r="Q250" s="131">
        <f t="shared" si="58"/>
        <v>3700.6579200000001</v>
      </c>
      <c r="R250" s="105">
        <f t="shared" si="59"/>
        <v>0.76391522587841609</v>
      </c>
      <c r="S250" s="131">
        <f t="shared" si="60"/>
        <v>3469.3667999999998</v>
      </c>
      <c r="T250" s="94">
        <f t="shared" si="61"/>
        <v>0.77867052426101502</v>
      </c>
      <c r="V250" s="82"/>
      <c r="W250" s="504">
        <v>202</v>
      </c>
      <c r="X250" s="506" t="s">
        <v>855</v>
      </c>
      <c r="Y250" s="508">
        <v>0</v>
      </c>
      <c r="Z250" s="403">
        <v>0</v>
      </c>
      <c r="AA250" s="407">
        <f t="shared" si="62"/>
        <v>0.77867052426101502</v>
      </c>
      <c r="AB250" s="411"/>
      <c r="AC250" s="446"/>
    </row>
    <row r="251" spans="1:29">
      <c r="A251" s="67">
        <v>203</v>
      </c>
      <c r="B251" s="74" t="s">
        <v>222</v>
      </c>
      <c r="C251" s="125" t="s">
        <v>365</v>
      </c>
      <c r="D251" s="387">
        <f t="shared" si="52"/>
        <v>1</v>
      </c>
      <c r="E251" s="104">
        <f t="shared" si="50"/>
        <v>4</v>
      </c>
      <c r="F251" s="83">
        <f t="shared" si="63"/>
        <v>6327.3119999999999</v>
      </c>
      <c r="G251" s="83">
        <f t="shared" si="53"/>
        <v>25309.248</v>
      </c>
      <c r="H251" s="483">
        <f t="shared" si="54"/>
        <v>0</v>
      </c>
      <c r="I251" s="83">
        <f>+'Costo adq'!C240*$I$1</f>
        <v>17014.896000000001</v>
      </c>
      <c r="J251" s="83">
        <f t="shared" si="55"/>
        <v>68059.584000000003</v>
      </c>
      <c r="L251" s="54">
        <f>VLOOKUP(A251,'Precios oferta'!$A$30:$U$436,$B$5,FALSE)</f>
        <v>21558.758399999999</v>
      </c>
      <c r="M251" s="48">
        <f>VLOOKUP(A251,'Precios piso'!$A$30:$U$436,$B$5,FALSE)</f>
        <v>8436.4159999999993</v>
      </c>
      <c r="N251" s="105">
        <f t="shared" si="56"/>
        <v>0.60867802108678015</v>
      </c>
      <c r="O251" s="131">
        <f t="shared" si="51"/>
        <v>7424.0460799999992</v>
      </c>
      <c r="P251" s="388">
        <f t="shared" si="57"/>
        <v>0.65563665855636666</v>
      </c>
      <c r="Q251" s="131">
        <f t="shared" si="58"/>
        <v>6749.1327999999994</v>
      </c>
      <c r="R251" s="105">
        <f t="shared" si="59"/>
        <v>0.68694241686942425</v>
      </c>
      <c r="S251" s="131">
        <f t="shared" si="60"/>
        <v>6327.3119999999999</v>
      </c>
      <c r="T251" s="94">
        <f t="shared" si="61"/>
        <v>0.70650851581508523</v>
      </c>
      <c r="V251" s="82"/>
      <c r="W251" s="504">
        <v>203</v>
      </c>
      <c r="X251" s="506" t="s">
        <v>856</v>
      </c>
      <c r="Y251" s="508">
        <v>1</v>
      </c>
      <c r="Z251" s="403">
        <v>0</v>
      </c>
      <c r="AA251" s="407">
        <f t="shared" si="62"/>
        <v>0.70650851581508523</v>
      </c>
      <c r="AB251" s="411"/>
      <c r="AC251" s="446"/>
    </row>
    <row r="252" spans="1:29">
      <c r="A252" s="67">
        <v>204</v>
      </c>
      <c r="B252" s="74" t="s">
        <v>223</v>
      </c>
      <c r="C252" s="125" t="s">
        <v>365</v>
      </c>
      <c r="D252" s="387">
        <f t="shared" si="52"/>
        <v>0.75</v>
      </c>
      <c r="E252" s="104">
        <f t="shared" si="50"/>
        <v>4</v>
      </c>
      <c r="F252" s="83">
        <f t="shared" si="63"/>
        <v>4881.5375999999997</v>
      </c>
      <c r="G252" s="83">
        <f t="shared" si="53"/>
        <v>14644.612799999999</v>
      </c>
      <c r="H252" s="483">
        <f t="shared" si="54"/>
        <v>0</v>
      </c>
      <c r="I252" s="83">
        <f>+'Costo adq'!C241*$I$1</f>
        <v>17014.896000000001</v>
      </c>
      <c r="J252" s="83">
        <f t="shared" si="55"/>
        <v>51044.688000000002</v>
      </c>
      <c r="L252" s="54">
        <f>VLOOKUP(A252,'Precios oferta'!$A$30:$U$436,$B$5,FALSE)</f>
        <v>31200.532800000001</v>
      </c>
      <c r="M252" s="48">
        <f>VLOOKUP(A252,'Precios piso'!$A$30:$U$436,$B$5,FALSE)</f>
        <v>6508.7168000000001</v>
      </c>
      <c r="N252" s="105">
        <f t="shared" si="56"/>
        <v>0.79139084445378449</v>
      </c>
      <c r="O252" s="131">
        <f t="shared" si="51"/>
        <v>5727.6707839999999</v>
      </c>
      <c r="P252" s="388">
        <f t="shared" si="57"/>
        <v>0.81642394311933031</v>
      </c>
      <c r="Q252" s="131">
        <f t="shared" si="58"/>
        <v>5206.9734399999998</v>
      </c>
      <c r="R252" s="105">
        <f t="shared" si="59"/>
        <v>0.83311267556302759</v>
      </c>
      <c r="S252" s="131">
        <f t="shared" si="60"/>
        <v>4881.5375999999997</v>
      </c>
      <c r="T252" s="94">
        <f t="shared" si="61"/>
        <v>0.84354313334033837</v>
      </c>
      <c r="V252" s="82"/>
      <c r="W252" s="504">
        <v>204</v>
      </c>
      <c r="X252" s="506" t="s">
        <v>857</v>
      </c>
      <c r="Y252" s="508">
        <v>0.75</v>
      </c>
      <c r="Z252" s="403">
        <v>0</v>
      </c>
      <c r="AA252" s="407">
        <f t="shared" si="62"/>
        <v>0.84354313334033837</v>
      </c>
      <c r="AB252" s="411"/>
      <c r="AC252" s="446"/>
    </row>
    <row r="253" spans="1:29">
      <c r="A253" s="67">
        <v>205</v>
      </c>
      <c r="B253" s="74" t="s">
        <v>224</v>
      </c>
      <c r="C253" s="125" t="s">
        <v>365</v>
      </c>
      <c r="D253" s="387">
        <f t="shared" si="52"/>
        <v>26</v>
      </c>
      <c r="E253" s="104">
        <f t="shared" si="50"/>
        <v>4</v>
      </c>
      <c r="F253" s="83">
        <f t="shared" si="63"/>
        <v>1980.9731999999999</v>
      </c>
      <c r="G253" s="83">
        <f t="shared" si="53"/>
        <v>206021.21279999998</v>
      </c>
      <c r="H253" s="483">
        <f t="shared" si="54"/>
        <v>0</v>
      </c>
      <c r="I253" s="83">
        <f>+'Costo adq'!C242*$I$1</f>
        <v>3698.7147030399997</v>
      </c>
      <c r="J253" s="83">
        <f t="shared" si="55"/>
        <v>384666.32911615999</v>
      </c>
      <c r="L253" s="54">
        <f>VLOOKUP(A253,'Precios oferta'!$A$30:$U$436,$B$5,FALSE)</f>
        <v>6972.0640000000003</v>
      </c>
      <c r="M253" s="48">
        <f>VLOOKUP(A253,'Precios piso'!$A$30:$U$436,$B$5,FALSE)</f>
        <v>2641.2975999999999</v>
      </c>
      <c r="N253" s="105">
        <f t="shared" si="56"/>
        <v>0.62115987460815059</v>
      </c>
      <c r="O253" s="131">
        <f t="shared" si="51"/>
        <v>2324.3418879999999</v>
      </c>
      <c r="P253" s="388">
        <f t="shared" si="57"/>
        <v>0.66662068965517252</v>
      </c>
      <c r="Q253" s="131">
        <f t="shared" si="58"/>
        <v>2113.0380799999998</v>
      </c>
      <c r="R253" s="105">
        <f t="shared" si="59"/>
        <v>0.69692789968652047</v>
      </c>
      <c r="S253" s="131">
        <f t="shared" si="60"/>
        <v>1980.9731999999999</v>
      </c>
      <c r="T253" s="94">
        <f t="shared" si="61"/>
        <v>0.71586990595611288</v>
      </c>
      <c r="V253" s="82"/>
      <c r="W253" s="504">
        <v>205</v>
      </c>
      <c r="X253" s="506" t="s">
        <v>858</v>
      </c>
      <c r="Y253" s="508">
        <v>26</v>
      </c>
      <c r="Z253" s="403">
        <v>0</v>
      </c>
      <c r="AA253" s="407">
        <f t="shared" si="62"/>
        <v>0.71586990595611288</v>
      </c>
      <c r="AB253" s="411"/>
      <c r="AC253" s="446"/>
    </row>
    <row r="254" spans="1:29">
      <c r="A254" s="67">
        <v>206</v>
      </c>
      <c r="B254" s="74" t="s">
        <v>225</v>
      </c>
      <c r="C254" s="125" t="s">
        <v>365</v>
      </c>
      <c r="D254" s="387">
        <f t="shared" si="52"/>
        <v>0</v>
      </c>
      <c r="E254" s="104">
        <f t="shared" si="50"/>
        <v>4</v>
      </c>
      <c r="F254" s="83">
        <f t="shared" si="63"/>
        <v>2105.5523999999996</v>
      </c>
      <c r="G254" s="83">
        <f t="shared" si="53"/>
        <v>0</v>
      </c>
      <c r="H254" s="483">
        <f t="shared" si="54"/>
        <v>0</v>
      </c>
      <c r="I254" s="83">
        <f>+'Costo adq'!C243*$I$1</f>
        <v>23593.552</v>
      </c>
      <c r="J254" s="83">
        <f t="shared" si="55"/>
        <v>0</v>
      </c>
      <c r="L254" s="54">
        <f>VLOOKUP(A254,'Precios oferta'!$A$30:$U$436,$B$5,FALSE)</f>
        <v>72563.012799999997</v>
      </c>
      <c r="M254" s="48">
        <f>VLOOKUP(A254,'Precios piso'!$A$30:$U$436,$B$5,FALSE)</f>
        <v>2807.4031999999997</v>
      </c>
      <c r="N254" s="105">
        <f t="shared" si="56"/>
        <v>0.96131082363217424</v>
      </c>
      <c r="O254" s="131">
        <f t="shared" si="51"/>
        <v>2470.5148159999999</v>
      </c>
      <c r="P254" s="388">
        <f t="shared" si="57"/>
        <v>0.96595352479631336</v>
      </c>
      <c r="Q254" s="131">
        <f t="shared" si="58"/>
        <v>2245.92256</v>
      </c>
      <c r="R254" s="105">
        <f t="shared" si="59"/>
        <v>0.96904865890573932</v>
      </c>
      <c r="S254" s="131">
        <f t="shared" si="60"/>
        <v>2105.5523999999996</v>
      </c>
      <c r="T254" s="94">
        <f t="shared" si="61"/>
        <v>0.97098311772413071</v>
      </c>
      <c r="V254" s="82"/>
      <c r="W254" s="504">
        <v>206</v>
      </c>
      <c r="X254" s="506" t="s">
        <v>859</v>
      </c>
      <c r="Y254" s="508">
        <v>0</v>
      </c>
      <c r="Z254" s="403">
        <v>0</v>
      </c>
      <c r="AA254" s="407">
        <f t="shared" si="62"/>
        <v>0.97098311772413071</v>
      </c>
      <c r="AB254" s="411"/>
      <c r="AC254" s="446"/>
    </row>
    <row r="255" spans="1:29">
      <c r="A255" s="67">
        <v>207</v>
      </c>
      <c r="B255" s="74" t="s">
        <v>226</v>
      </c>
      <c r="C255" s="125" t="s">
        <v>365</v>
      </c>
      <c r="D255" s="387">
        <f t="shared" si="52"/>
        <v>25.5</v>
      </c>
      <c r="E255" s="104">
        <f t="shared" si="50"/>
        <v>4</v>
      </c>
      <c r="F255" s="83">
        <f t="shared" si="63"/>
        <v>1118.7539999999999</v>
      </c>
      <c r="G255" s="83">
        <f t="shared" si="53"/>
        <v>114112.908</v>
      </c>
      <c r="H255" s="483">
        <f t="shared" si="54"/>
        <v>0</v>
      </c>
      <c r="I255" s="83">
        <f>+'Costo adq'!C244*$I$1</f>
        <v>1560.5183999999999</v>
      </c>
      <c r="J255" s="83">
        <f t="shared" si="55"/>
        <v>159172.8768</v>
      </c>
      <c r="L255" s="54">
        <f>VLOOKUP(A255,'Precios oferta'!$A$30:$U$436,$B$5,FALSE)</f>
        <v>4326.3951999999999</v>
      </c>
      <c r="M255" s="48">
        <f>VLOOKUP(A255,'Precios piso'!$A$30:$U$436,$B$5,FALSE)</f>
        <v>1491.672</v>
      </c>
      <c r="N255" s="105">
        <f t="shared" si="56"/>
        <v>0.6552159636271786</v>
      </c>
      <c r="O255" s="131">
        <f t="shared" si="51"/>
        <v>1312.67136</v>
      </c>
      <c r="P255" s="388">
        <f t="shared" si="57"/>
        <v>0.69659004799191715</v>
      </c>
      <c r="Q255" s="131">
        <f t="shared" si="58"/>
        <v>1193.3376000000001</v>
      </c>
      <c r="R255" s="105">
        <f t="shared" si="59"/>
        <v>0.72417277090174292</v>
      </c>
      <c r="S255" s="131">
        <f t="shared" si="60"/>
        <v>1118.7539999999999</v>
      </c>
      <c r="T255" s="94">
        <f t="shared" si="61"/>
        <v>0.74141197272038395</v>
      </c>
      <c r="V255" s="82"/>
      <c r="W255" s="504">
        <v>207</v>
      </c>
      <c r="X255" s="506" t="s">
        <v>860</v>
      </c>
      <c r="Y255" s="508">
        <v>25.5</v>
      </c>
      <c r="Z255" s="403">
        <v>0</v>
      </c>
      <c r="AA255" s="407">
        <f t="shared" si="62"/>
        <v>0.74141197272038395</v>
      </c>
      <c r="AB255" s="411"/>
      <c r="AC255" s="446"/>
    </row>
    <row r="256" spans="1:29">
      <c r="A256" s="67"/>
      <c r="B256" s="68"/>
      <c r="C256" s="68"/>
      <c r="D256" s="579" t="s">
        <v>464</v>
      </c>
      <c r="E256" s="579"/>
      <c r="F256" s="579"/>
      <c r="G256" s="92">
        <f>SUM(G49:G255)</f>
        <v>44637889.5528</v>
      </c>
      <c r="J256" s="93">
        <f>SUM(J49:J255)</f>
        <v>78631710.119657621</v>
      </c>
      <c r="K256" s="117">
        <f>+G256-J256</f>
        <v>-33993820.566857621</v>
      </c>
      <c r="L256" s="371">
        <f>SUM(L49:L255)</f>
        <v>4208083.2079999996</v>
      </c>
      <c r="Q256" s="371">
        <f>SUM(Q49:Q255)</f>
        <v>1084040.9894400002</v>
      </c>
      <c r="R256" s="106">
        <f>SUM(R49:R255)</f>
        <v>145.19774316027602</v>
      </c>
      <c r="S256" s="372">
        <f>SUM(S49:S255)</f>
        <v>1016288.4275999994</v>
      </c>
      <c r="T256" s="106">
        <f>SUM(T49:T255)</f>
        <v>149.06038421275863</v>
      </c>
      <c r="V256" s="82"/>
      <c r="W256" s="504">
        <v>208</v>
      </c>
      <c r="X256" s="506" t="s">
        <v>861</v>
      </c>
      <c r="Y256" s="508">
        <v>0</v>
      </c>
      <c r="Z256" s="403">
        <v>0</v>
      </c>
      <c r="AA256" s="407">
        <f t="shared" si="62"/>
        <v>0.81946461921560498</v>
      </c>
      <c r="AB256" s="411"/>
      <c r="AC256" s="446"/>
    </row>
    <row r="257" spans="1:29">
      <c r="A257" s="575" t="s">
        <v>499</v>
      </c>
      <c r="B257" s="575"/>
      <c r="C257" s="119"/>
      <c r="T257" s="106"/>
      <c r="V257" s="82"/>
      <c r="W257" s="504">
        <v>209</v>
      </c>
      <c r="X257" s="506" t="s">
        <v>862</v>
      </c>
      <c r="Y257" s="508">
        <v>0</v>
      </c>
      <c r="Z257" s="403">
        <v>0</v>
      </c>
      <c r="AA257" s="407">
        <f t="shared" si="62"/>
        <v>0.76948768354328811</v>
      </c>
      <c r="AB257" s="411"/>
      <c r="AC257" s="446"/>
    </row>
    <row r="258" spans="1:29">
      <c r="A258" s="572" t="s">
        <v>451</v>
      </c>
      <c r="B258" s="572" t="s">
        <v>443</v>
      </c>
      <c r="C258" s="118"/>
      <c r="T258" s="106"/>
      <c r="V258" s="82"/>
      <c r="W258" s="504">
        <v>210</v>
      </c>
      <c r="X258" s="506" t="s">
        <v>863</v>
      </c>
      <c r="Y258" s="508">
        <v>0</v>
      </c>
      <c r="Z258" s="403">
        <v>0</v>
      </c>
      <c r="AA258" s="407">
        <f t="shared" si="62"/>
        <v>0.80782312925170063</v>
      </c>
      <c r="AB258" s="411"/>
      <c r="AC258" s="446"/>
    </row>
    <row r="259" spans="1:29">
      <c r="A259" s="56" t="s">
        <v>445</v>
      </c>
      <c r="B259" s="56" t="s">
        <v>446</v>
      </c>
      <c r="C259" s="56" t="s">
        <v>503</v>
      </c>
      <c r="D259" s="49" t="s">
        <v>465</v>
      </c>
      <c r="E259" s="49" t="s">
        <v>460</v>
      </c>
      <c r="F259" s="49" t="s">
        <v>466</v>
      </c>
      <c r="G259" s="51" t="s">
        <v>462</v>
      </c>
      <c r="I259" s="81" t="s">
        <v>447</v>
      </c>
      <c r="J259" s="81" t="s">
        <v>463</v>
      </c>
      <c r="L259" s="127" t="s">
        <v>469</v>
      </c>
      <c r="M259" s="128" t="s">
        <v>470</v>
      </c>
      <c r="N259" s="128" t="s">
        <v>472</v>
      </c>
      <c r="O259" s="395" t="s">
        <v>1060</v>
      </c>
      <c r="P259" s="396" t="s">
        <v>472</v>
      </c>
      <c r="Q259" s="129" t="s">
        <v>471</v>
      </c>
      <c r="R259" s="129" t="s">
        <v>472</v>
      </c>
      <c r="S259" s="130" t="s">
        <v>500</v>
      </c>
      <c r="T259" s="130" t="s">
        <v>472</v>
      </c>
      <c r="V259" s="82"/>
      <c r="W259" s="504">
        <v>211</v>
      </c>
      <c r="X259" s="506" t="s">
        <v>864</v>
      </c>
      <c r="Y259" s="508">
        <v>0</v>
      </c>
      <c r="Z259" s="403">
        <v>0</v>
      </c>
      <c r="AA259" s="407">
        <f t="shared" si="62"/>
        <v>0.58318296643810896</v>
      </c>
      <c r="AB259" s="411"/>
      <c r="AC259" s="446"/>
    </row>
    <row r="260" spans="1:29">
      <c r="A260" s="67">
        <v>208</v>
      </c>
      <c r="B260" s="74" t="s">
        <v>227</v>
      </c>
      <c r="C260" s="125" t="s">
        <v>366</v>
      </c>
      <c r="D260" s="387">
        <f t="shared" ref="D260:D323" si="64">VLOOKUP(A260,$W$49:$Y$455,3,FALSE)</f>
        <v>0</v>
      </c>
      <c r="E260" s="104">
        <f t="shared" ref="E260:E291" si="65">$B$6</f>
        <v>4</v>
      </c>
      <c r="F260" s="83">
        <f t="shared" ref="F260:F323" si="66">IF($K$478=$L$48,L260,IF($K$478=$M$48,M260,IF($K$478=$O$48,O260,IF($K$478=$Q$48,Q260,IF($K$478=$S$48,S260,"ERROR")))))</f>
        <v>1901.4719999999998</v>
      </c>
      <c r="G260" s="83">
        <f t="shared" ref="G260:G323" si="67">F260*E260*D260</f>
        <v>0</v>
      </c>
      <c r="H260" s="483">
        <f t="shared" ref="H260:H323" si="68">+F260-S260</f>
        <v>0</v>
      </c>
      <c r="I260" s="83">
        <f>+'Costo adq'!C248*$I$1</f>
        <v>4119.8559999999998</v>
      </c>
      <c r="J260" s="83">
        <f>I260*E260*D260</f>
        <v>0</v>
      </c>
      <c r="L260" s="54">
        <f>VLOOKUP(A260,'Precios oferta'!$A$30:$U$436,$B$5,FALSE)</f>
        <v>10532.4064</v>
      </c>
      <c r="M260" s="48">
        <f>VLOOKUP(A260,'Precios piso'!$A$30:$U$436,$B$5,FALSE)</f>
        <v>2535.2959999999998</v>
      </c>
      <c r="N260" s="105">
        <f t="shared" ref="N260:N323" si="69">1-(M260/L260)</f>
        <v>0.75928615895413987</v>
      </c>
      <c r="O260" s="131">
        <f t="shared" ref="O260:O291" si="70">+M260-(M260*$N$481)</f>
        <v>2231.0604800000001</v>
      </c>
      <c r="P260" s="388">
        <f>1-(O260/L260)</f>
        <v>0.78817181987964302</v>
      </c>
      <c r="Q260" s="131">
        <f t="shared" ref="Q260:Q323" si="71">+M260-(M260*20%)</f>
        <v>2028.2367999999999</v>
      </c>
      <c r="R260" s="105">
        <f>1-(Q260/L260)</f>
        <v>0.80742892716331194</v>
      </c>
      <c r="S260" s="131">
        <f t="shared" si="60"/>
        <v>1901.4719999999998</v>
      </c>
      <c r="T260" s="94">
        <f t="shared" si="61"/>
        <v>0.81946461921560498</v>
      </c>
      <c r="V260" s="82"/>
      <c r="W260" s="504">
        <v>212</v>
      </c>
      <c r="X260" s="506" t="s">
        <v>865</v>
      </c>
      <c r="Y260" s="508">
        <v>0</v>
      </c>
      <c r="Z260" s="403">
        <v>0</v>
      </c>
      <c r="AA260" s="407">
        <f t="shared" si="62"/>
        <v>0.86129296235679209</v>
      </c>
      <c r="AB260" s="411"/>
      <c r="AC260" s="446"/>
    </row>
    <row r="261" spans="1:29">
      <c r="A261" s="67">
        <v>209</v>
      </c>
      <c r="B261" s="74" t="s">
        <v>227</v>
      </c>
      <c r="C261" s="125" t="s">
        <v>365</v>
      </c>
      <c r="D261" s="387">
        <f t="shared" si="64"/>
        <v>0</v>
      </c>
      <c r="E261" s="104">
        <f t="shared" si="65"/>
        <v>4</v>
      </c>
      <c r="F261" s="83">
        <f t="shared" si="66"/>
        <v>12557.9112</v>
      </c>
      <c r="G261" s="83">
        <f t="shared" si="67"/>
        <v>0</v>
      </c>
      <c r="H261" s="483">
        <f t="shared" si="68"/>
        <v>0</v>
      </c>
      <c r="I261" s="481">
        <f>+'Costo adq'!C249*$I$1</f>
        <v>49473.635007999997</v>
      </c>
      <c r="J261" s="83">
        <f t="shared" ref="J261:J324" si="72">I261*E261*D261</f>
        <v>0</v>
      </c>
      <c r="K261" s="358">
        <f>+(J261/E261)*(E261-1)</f>
        <v>0</v>
      </c>
      <c r="L261" s="54">
        <f>VLOOKUP(A261,'Precios oferta'!$A$30:$U$436,$B$5,FALSE)</f>
        <v>54478.265599999999</v>
      </c>
      <c r="M261" s="48">
        <f>VLOOKUP(A261,'Precios piso'!$A$30:$U$436,$B$5,FALSE)</f>
        <v>16743.881600000001</v>
      </c>
      <c r="N261" s="105">
        <f t="shared" si="69"/>
        <v>0.69265024472438408</v>
      </c>
      <c r="O261" s="131">
        <f t="shared" si="70"/>
        <v>14734.615808</v>
      </c>
      <c r="P261" s="388">
        <f t="shared" ref="P261:P324" si="73">1-(O261/L261)</f>
        <v>0.72953221535745805</v>
      </c>
      <c r="Q261" s="131">
        <f t="shared" si="71"/>
        <v>13395.10528</v>
      </c>
      <c r="R261" s="105">
        <f t="shared" ref="R261:R324" si="74">1-(Q261/L261)</f>
        <v>0.7541201957795074</v>
      </c>
      <c r="S261" s="131">
        <f t="shared" si="60"/>
        <v>12557.9112</v>
      </c>
      <c r="T261" s="94">
        <f t="shared" si="61"/>
        <v>0.76948768354328811</v>
      </c>
      <c r="V261" s="82"/>
      <c r="W261" s="504">
        <v>213</v>
      </c>
      <c r="X261" s="506" t="s">
        <v>866</v>
      </c>
      <c r="Y261" s="508">
        <v>0</v>
      </c>
      <c r="Z261" s="403">
        <v>0</v>
      </c>
      <c r="AA261" s="407">
        <f t="shared" si="62"/>
        <v>0.66489361702127669</v>
      </c>
      <c r="AB261" s="411"/>
      <c r="AC261" s="446"/>
    </row>
    <row r="262" spans="1:29">
      <c r="A262" s="67">
        <v>210</v>
      </c>
      <c r="B262" s="74" t="s">
        <v>228</v>
      </c>
      <c r="C262" s="125" t="s">
        <v>366</v>
      </c>
      <c r="D262" s="387">
        <f t="shared" si="64"/>
        <v>0</v>
      </c>
      <c r="E262" s="104">
        <f t="shared" si="65"/>
        <v>4</v>
      </c>
      <c r="F262" s="83">
        <f t="shared" si="66"/>
        <v>185.2296</v>
      </c>
      <c r="G262" s="83">
        <f t="shared" si="67"/>
        <v>0</v>
      </c>
      <c r="H262" s="483">
        <f t="shared" si="68"/>
        <v>0</v>
      </c>
      <c r="I262" s="83">
        <f>+'Costo adq'!C250*$I$1</f>
        <v>207.63200000000001</v>
      </c>
      <c r="J262" s="83">
        <f t="shared" si="72"/>
        <v>0</v>
      </c>
      <c r="L262" s="54">
        <f>VLOOKUP(A262,'Precios oferta'!$A$30:$U$436,$B$5,FALSE)</f>
        <v>963.84960000000001</v>
      </c>
      <c r="M262" s="48">
        <f>VLOOKUP(A262,'Precios piso'!$A$30:$U$436,$B$5,FALSE)</f>
        <v>246.97280000000001</v>
      </c>
      <c r="N262" s="105">
        <f t="shared" si="69"/>
        <v>0.74376417233560088</v>
      </c>
      <c r="O262" s="131">
        <f t="shared" si="70"/>
        <v>217.33606400000002</v>
      </c>
      <c r="P262" s="388">
        <f t="shared" si="73"/>
        <v>0.77451247165532877</v>
      </c>
      <c r="Q262" s="131">
        <f t="shared" si="71"/>
        <v>197.57823999999999</v>
      </c>
      <c r="R262" s="105">
        <f t="shared" si="74"/>
        <v>0.79501133786848077</v>
      </c>
      <c r="S262" s="131">
        <f t="shared" si="60"/>
        <v>185.2296</v>
      </c>
      <c r="T262" s="94">
        <f t="shared" si="61"/>
        <v>0.80782312925170063</v>
      </c>
      <c r="V262" s="82"/>
      <c r="W262" s="504">
        <v>214</v>
      </c>
      <c r="X262" s="506" t="s">
        <v>867</v>
      </c>
      <c r="Y262" s="508">
        <v>0</v>
      </c>
      <c r="Z262" s="403">
        <v>0</v>
      </c>
      <c r="AA262" s="407">
        <f t="shared" si="62"/>
        <v>0.61245991754466322</v>
      </c>
      <c r="AB262" s="411"/>
      <c r="AC262" s="446"/>
    </row>
    <row r="263" spans="1:29">
      <c r="A263" s="67">
        <v>211</v>
      </c>
      <c r="B263" s="74" t="s">
        <v>228</v>
      </c>
      <c r="C263" s="125" t="s">
        <v>365</v>
      </c>
      <c r="D263" s="387">
        <f t="shared" si="64"/>
        <v>0</v>
      </c>
      <c r="E263" s="104">
        <f t="shared" si="65"/>
        <v>4</v>
      </c>
      <c r="F263" s="83">
        <f t="shared" si="66"/>
        <v>1262.184</v>
      </c>
      <c r="G263" s="83">
        <f t="shared" si="67"/>
        <v>0</v>
      </c>
      <c r="H263" s="483">
        <f t="shared" si="68"/>
        <v>0</v>
      </c>
      <c r="I263" s="83">
        <f>+'Costo adq'!C251*$I$1</f>
        <v>2470.8208</v>
      </c>
      <c r="J263" s="83">
        <f t="shared" si="72"/>
        <v>0</v>
      </c>
      <c r="K263" s="358">
        <f>+(J263/E263)*(E263-1)</f>
        <v>0</v>
      </c>
      <c r="L263" s="54">
        <f>VLOOKUP(A263,'Precios oferta'!$A$30:$U$436,$B$5,FALSE)</f>
        <v>3028.1487999999999</v>
      </c>
      <c r="M263" s="48">
        <f>VLOOKUP(A263,'Precios piso'!$A$30:$U$436,$B$5,FALSE)</f>
        <v>1682.912</v>
      </c>
      <c r="N263" s="105">
        <f t="shared" si="69"/>
        <v>0.44424395525081195</v>
      </c>
      <c r="O263" s="131">
        <f t="shared" si="70"/>
        <v>1480.9625599999999</v>
      </c>
      <c r="P263" s="388">
        <f t="shared" si="73"/>
        <v>0.51093468062071457</v>
      </c>
      <c r="Q263" s="131">
        <f t="shared" si="71"/>
        <v>1346.3296</v>
      </c>
      <c r="R263" s="105">
        <f t="shared" si="74"/>
        <v>0.5553951642006496</v>
      </c>
      <c r="S263" s="131">
        <f t="shared" si="60"/>
        <v>1262.184</v>
      </c>
      <c r="T263" s="94">
        <f t="shared" si="61"/>
        <v>0.58318296643810896</v>
      </c>
      <c r="V263" s="82"/>
      <c r="W263" s="504">
        <v>215</v>
      </c>
      <c r="X263" s="506" t="s">
        <v>868</v>
      </c>
      <c r="Y263" s="508">
        <v>0</v>
      </c>
      <c r="Z263" s="403">
        <v>0</v>
      </c>
      <c r="AA263" s="407">
        <f t="shared" si="62"/>
        <v>0.65769775440016187</v>
      </c>
      <c r="AB263" s="411"/>
      <c r="AC263" s="446"/>
    </row>
    <row r="264" spans="1:29">
      <c r="A264" s="67">
        <v>212</v>
      </c>
      <c r="B264" s="74" t="s">
        <v>229</v>
      </c>
      <c r="C264" s="125" t="s">
        <v>366</v>
      </c>
      <c r="D264" s="387">
        <f t="shared" si="64"/>
        <v>0</v>
      </c>
      <c r="E264" s="104">
        <f t="shared" si="65"/>
        <v>4</v>
      </c>
      <c r="F264" s="83">
        <f t="shared" si="66"/>
        <v>185.2296</v>
      </c>
      <c r="G264" s="83">
        <f t="shared" si="67"/>
        <v>0</v>
      </c>
      <c r="H264" s="483">
        <f t="shared" si="68"/>
        <v>0</v>
      </c>
      <c r="I264" s="83">
        <f>+'Costo adq'!C252*$I$1</f>
        <v>240.416</v>
      </c>
      <c r="J264" s="83">
        <f t="shared" si="72"/>
        <v>0</v>
      </c>
      <c r="L264" s="54">
        <f>VLOOKUP(A264,'Precios oferta'!$A$30:$U$436,$B$5,FALSE)</f>
        <v>1335.4015999999999</v>
      </c>
      <c r="M264" s="48">
        <f>VLOOKUP(A264,'Precios piso'!$A$30:$U$436,$B$5,FALSE)</f>
        <v>246.97280000000001</v>
      </c>
      <c r="N264" s="105">
        <f t="shared" si="69"/>
        <v>0.81505728314238945</v>
      </c>
      <c r="O264" s="131">
        <f t="shared" si="70"/>
        <v>217.33606400000002</v>
      </c>
      <c r="P264" s="388">
        <f t="shared" si="73"/>
        <v>0.8372504091653028</v>
      </c>
      <c r="Q264" s="131">
        <f t="shared" si="71"/>
        <v>197.57823999999999</v>
      </c>
      <c r="R264" s="105">
        <f t="shared" si="74"/>
        <v>0.85204582651391159</v>
      </c>
      <c r="S264" s="131">
        <f t="shared" si="60"/>
        <v>185.2296</v>
      </c>
      <c r="T264" s="94">
        <f t="shared" si="61"/>
        <v>0.86129296235679209</v>
      </c>
      <c r="V264" s="82"/>
      <c r="W264" s="504">
        <v>216</v>
      </c>
      <c r="X264" s="506" t="s">
        <v>869</v>
      </c>
      <c r="Y264" s="508">
        <v>0</v>
      </c>
      <c r="Z264" s="403">
        <v>0</v>
      </c>
      <c r="AA264" s="407">
        <f t="shared" si="62"/>
        <v>0.87864247688428132</v>
      </c>
      <c r="AB264" s="411"/>
      <c r="AC264" s="446"/>
    </row>
    <row r="265" spans="1:29">
      <c r="A265" s="67">
        <v>213</v>
      </c>
      <c r="B265" s="74" t="s">
        <v>229</v>
      </c>
      <c r="C265" s="125" t="s">
        <v>365</v>
      </c>
      <c r="D265" s="387">
        <f t="shared" si="64"/>
        <v>0</v>
      </c>
      <c r="E265" s="104">
        <f t="shared" si="65"/>
        <v>4</v>
      </c>
      <c r="F265" s="83">
        <f t="shared" si="66"/>
        <v>1893.2759999999998</v>
      </c>
      <c r="G265" s="83">
        <f t="shared" si="67"/>
        <v>0</v>
      </c>
      <c r="H265" s="483">
        <f t="shared" si="68"/>
        <v>0</v>
      </c>
      <c r="I265" s="83">
        <f>+'Costo adq'!C253*$I$1</f>
        <v>2860.9504000000002</v>
      </c>
      <c r="J265" s="83">
        <f t="shared" si="72"/>
        <v>0</v>
      </c>
      <c r="K265" s="358">
        <f>+(J265/E265)*(E265-1)</f>
        <v>0</v>
      </c>
      <c r="L265" s="54">
        <f>VLOOKUP(A265,'Precios oferta'!$A$30:$U$436,$B$5,FALSE)</f>
        <v>5649.7759999999998</v>
      </c>
      <c r="M265" s="48">
        <f>VLOOKUP(A265,'Precios piso'!$A$30:$U$436,$B$5,FALSE)</f>
        <v>2524.3679999999999</v>
      </c>
      <c r="N265" s="105">
        <f t="shared" si="69"/>
        <v>0.55319148936170215</v>
      </c>
      <c r="O265" s="131">
        <f t="shared" si="70"/>
        <v>2221.4438399999999</v>
      </c>
      <c r="P265" s="388">
        <f t="shared" si="73"/>
        <v>0.60680851063829788</v>
      </c>
      <c r="Q265" s="131">
        <f t="shared" si="71"/>
        <v>2019.4944</v>
      </c>
      <c r="R265" s="105">
        <f t="shared" si="74"/>
        <v>0.64255319148936163</v>
      </c>
      <c r="S265" s="131">
        <f t="shared" si="60"/>
        <v>1893.2759999999998</v>
      </c>
      <c r="T265" s="94">
        <f t="shared" si="61"/>
        <v>0.66489361702127669</v>
      </c>
      <c r="V265" s="82"/>
      <c r="W265" s="504">
        <v>217</v>
      </c>
      <c r="X265" s="506" t="s">
        <v>870</v>
      </c>
      <c r="Y265" s="508">
        <v>0</v>
      </c>
      <c r="Z265" s="403">
        <v>0</v>
      </c>
      <c r="AA265" s="407">
        <f t="shared" si="62"/>
        <v>0.73885742427973411</v>
      </c>
      <c r="AB265" s="411"/>
      <c r="AC265" s="446"/>
    </row>
    <row r="266" spans="1:29">
      <c r="A266" s="67">
        <v>214</v>
      </c>
      <c r="B266" s="74" t="s">
        <v>230</v>
      </c>
      <c r="C266" s="125" t="s">
        <v>365</v>
      </c>
      <c r="D266" s="387">
        <f t="shared" si="64"/>
        <v>0</v>
      </c>
      <c r="E266" s="104">
        <f t="shared" si="65"/>
        <v>4</v>
      </c>
      <c r="F266" s="83">
        <f t="shared" si="66"/>
        <v>1849.0176000000001</v>
      </c>
      <c r="G266" s="83">
        <f t="shared" si="67"/>
        <v>0</v>
      </c>
      <c r="H266" s="483">
        <f t="shared" si="68"/>
        <v>0</v>
      </c>
      <c r="I266" s="83">
        <f>+'Costo adq'!C254*$I$1</f>
        <v>3251.08</v>
      </c>
      <c r="J266" s="83">
        <f t="shared" si="72"/>
        <v>0</v>
      </c>
      <c r="K266" s="358">
        <f t="shared" ref="K266:K358" si="75">+(J266/E266)*(E266-1)</f>
        <v>0</v>
      </c>
      <c r="L266" s="54">
        <f>VLOOKUP(A266,'Precios oferta'!$A$30:$U$436,$B$5,FALSE)</f>
        <v>4771.1647999999996</v>
      </c>
      <c r="M266" s="48">
        <f>VLOOKUP(A266,'Precios piso'!$A$30:$U$436,$B$5,FALSE)</f>
        <v>2465.3568</v>
      </c>
      <c r="N266" s="105">
        <f t="shared" si="69"/>
        <v>0.48327989005955108</v>
      </c>
      <c r="O266" s="131">
        <f t="shared" si="70"/>
        <v>2169.5139840000002</v>
      </c>
      <c r="P266" s="388">
        <f t="shared" si="73"/>
        <v>0.5452863032524049</v>
      </c>
      <c r="Q266" s="131">
        <f t="shared" si="71"/>
        <v>1972.2854400000001</v>
      </c>
      <c r="R266" s="105">
        <f t="shared" si="74"/>
        <v>0.58662391204764086</v>
      </c>
      <c r="S266" s="131">
        <f t="shared" si="60"/>
        <v>1849.0176000000001</v>
      </c>
      <c r="T266" s="94">
        <f t="shared" si="61"/>
        <v>0.61245991754466322</v>
      </c>
      <c r="V266" s="82"/>
      <c r="W266" s="504">
        <v>218</v>
      </c>
      <c r="X266" s="506" t="s">
        <v>871</v>
      </c>
      <c r="Y266" s="508">
        <v>0</v>
      </c>
      <c r="Z266" s="403">
        <v>0</v>
      </c>
      <c r="AA266" s="407">
        <f t="shared" si="62"/>
        <v>0.88486321501243492</v>
      </c>
      <c r="AB266" s="411"/>
      <c r="AC266" s="446"/>
    </row>
    <row r="267" spans="1:29">
      <c r="A267" s="67">
        <v>215</v>
      </c>
      <c r="B267" s="74" t="s">
        <v>231</v>
      </c>
      <c r="C267" s="125" t="s">
        <v>365</v>
      </c>
      <c r="D267" s="387">
        <f t="shared" si="64"/>
        <v>0</v>
      </c>
      <c r="E267" s="104">
        <f t="shared" si="65"/>
        <v>4</v>
      </c>
      <c r="F267" s="83">
        <f t="shared" si="66"/>
        <v>1849.0176000000001</v>
      </c>
      <c r="G267" s="83">
        <f t="shared" si="67"/>
        <v>0</v>
      </c>
      <c r="H267" s="483">
        <f t="shared" si="68"/>
        <v>0</v>
      </c>
      <c r="I267" s="83">
        <f>+'Costo adq'!C255*$I$1</f>
        <v>3251.08</v>
      </c>
      <c r="J267" s="83">
        <f t="shared" si="72"/>
        <v>0</v>
      </c>
      <c r="K267" s="358">
        <f t="shared" si="75"/>
        <v>0</v>
      </c>
      <c r="L267" s="54">
        <f>VLOOKUP(A267,'Precios oferta'!$A$30:$U$436,$B$5,FALSE)</f>
        <v>5401.7103999999999</v>
      </c>
      <c r="M267" s="48">
        <f>VLOOKUP(A267,'Precios piso'!$A$30:$U$436,$B$5,FALSE)</f>
        <v>2465.3568</v>
      </c>
      <c r="N267" s="105">
        <f t="shared" si="69"/>
        <v>0.54359700586688242</v>
      </c>
      <c r="O267" s="131">
        <f t="shared" si="70"/>
        <v>2169.5139840000002</v>
      </c>
      <c r="P267" s="388">
        <f t="shared" si="73"/>
        <v>0.59836536516285654</v>
      </c>
      <c r="Q267" s="131">
        <f t="shared" si="71"/>
        <v>1972.2854400000001</v>
      </c>
      <c r="R267" s="105">
        <f t="shared" si="74"/>
        <v>0.63487760469350596</v>
      </c>
      <c r="S267" s="131">
        <f t="shared" si="60"/>
        <v>1849.0176000000001</v>
      </c>
      <c r="T267" s="94">
        <f t="shared" si="61"/>
        <v>0.65769775440016187</v>
      </c>
      <c r="V267" s="82"/>
      <c r="W267" s="504">
        <v>219</v>
      </c>
      <c r="X267" s="506" t="s">
        <v>872</v>
      </c>
      <c r="Y267" s="508">
        <v>0</v>
      </c>
      <c r="Z267" s="403">
        <v>0</v>
      </c>
      <c r="AA267" s="407">
        <f t="shared" si="62"/>
        <v>0.77377584330794336</v>
      </c>
      <c r="AB267" s="411"/>
      <c r="AC267" s="446"/>
    </row>
    <row r="268" spans="1:29">
      <c r="A268" s="67">
        <v>216</v>
      </c>
      <c r="B268" s="74" t="s">
        <v>232</v>
      </c>
      <c r="C268" s="125" t="s">
        <v>365</v>
      </c>
      <c r="D268" s="387">
        <f t="shared" si="64"/>
        <v>0</v>
      </c>
      <c r="E268" s="104">
        <f t="shared" si="65"/>
        <v>4</v>
      </c>
      <c r="F268" s="83">
        <f t="shared" si="66"/>
        <v>946.63799999999992</v>
      </c>
      <c r="G268" s="83">
        <f t="shared" si="67"/>
        <v>0</v>
      </c>
      <c r="H268" s="483">
        <f t="shared" si="68"/>
        <v>0</v>
      </c>
      <c r="I268" s="83">
        <f>+'Costo adq'!C256*$I$1</f>
        <v>3251.08</v>
      </c>
      <c r="J268" s="83">
        <f t="shared" si="72"/>
        <v>0</v>
      </c>
      <c r="K268" s="358">
        <f t="shared" si="75"/>
        <v>0</v>
      </c>
      <c r="L268" s="54">
        <f>VLOOKUP(A268,'Precios oferta'!$A$30:$U$436,$B$5,FALSE)</f>
        <v>7800.4063999999998</v>
      </c>
      <c r="M268" s="48">
        <f>VLOOKUP(A268,'Precios piso'!$A$30:$U$436,$B$5,FALSE)</f>
        <v>1262.184</v>
      </c>
      <c r="N268" s="105">
        <f t="shared" si="69"/>
        <v>0.83818996917904176</v>
      </c>
      <c r="O268" s="131">
        <f t="shared" si="70"/>
        <v>1110.72192</v>
      </c>
      <c r="P268" s="388">
        <f t="shared" si="73"/>
        <v>0.85760717287755672</v>
      </c>
      <c r="Q268" s="131">
        <f t="shared" si="71"/>
        <v>1009.7472</v>
      </c>
      <c r="R268" s="105">
        <f t="shared" si="74"/>
        <v>0.87055197534323336</v>
      </c>
      <c r="S268" s="131">
        <f t="shared" si="60"/>
        <v>946.63799999999992</v>
      </c>
      <c r="T268" s="94">
        <f t="shared" si="61"/>
        <v>0.87864247688428132</v>
      </c>
      <c r="V268" s="82"/>
      <c r="W268" s="504">
        <v>220</v>
      </c>
      <c r="X268" s="506" t="s">
        <v>873</v>
      </c>
      <c r="Y268" s="508">
        <v>0</v>
      </c>
      <c r="Z268" s="403">
        <v>0</v>
      </c>
      <c r="AA268" s="407">
        <f t="shared" si="62"/>
        <v>0.88004143646408839</v>
      </c>
      <c r="AB268" s="411"/>
      <c r="AC268" s="446"/>
    </row>
    <row r="269" spans="1:29">
      <c r="A269" s="67">
        <v>217</v>
      </c>
      <c r="B269" s="74" t="s">
        <v>233</v>
      </c>
      <c r="C269" s="125" t="s">
        <v>365</v>
      </c>
      <c r="D269" s="387">
        <f t="shared" si="64"/>
        <v>0</v>
      </c>
      <c r="E269" s="104">
        <f t="shared" si="65"/>
        <v>4</v>
      </c>
      <c r="F269" s="83">
        <f t="shared" si="66"/>
        <v>1158.9144000000001</v>
      </c>
      <c r="G269" s="83">
        <f t="shared" si="67"/>
        <v>0</v>
      </c>
      <c r="H269" s="483">
        <f t="shared" si="68"/>
        <v>0</v>
      </c>
      <c r="I269" s="83">
        <f>+'Costo adq'!C257*$I$1</f>
        <v>1560.5183999999999</v>
      </c>
      <c r="J269" s="83">
        <f t="shared" si="72"/>
        <v>0</v>
      </c>
      <c r="K269" s="358">
        <f t="shared" si="75"/>
        <v>0</v>
      </c>
      <c r="L269" s="54">
        <f>VLOOKUP(A269,'Precios oferta'!$A$30:$U$436,$B$5,FALSE)</f>
        <v>4437.8608000000004</v>
      </c>
      <c r="M269" s="48">
        <f>VLOOKUP(A269,'Precios piso'!$A$30:$U$436,$B$5,FALSE)</f>
        <v>1545.2192</v>
      </c>
      <c r="N269" s="105">
        <f t="shared" si="69"/>
        <v>0.65180989903964548</v>
      </c>
      <c r="O269" s="131">
        <f t="shared" si="70"/>
        <v>1359.7928959999999</v>
      </c>
      <c r="P269" s="388">
        <f t="shared" si="73"/>
        <v>0.69359271115488808</v>
      </c>
      <c r="Q269" s="131">
        <f t="shared" si="71"/>
        <v>1236.17536</v>
      </c>
      <c r="R269" s="105">
        <f t="shared" si="74"/>
        <v>0.72144791923171636</v>
      </c>
      <c r="S269" s="131">
        <f t="shared" si="60"/>
        <v>1158.9144000000001</v>
      </c>
      <c r="T269" s="94">
        <f t="shared" si="61"/>
        <v>0.73885742427973411</v>
      </c>
      <c r="V269" s="82"/>
      <c r="W269" s="504">
        <v>221</v>
      </c>
      <c r="X269" s="506" t="s">
        <v>874</v>
      </c>
      <c r="Y269" s="508">
        <v>0</v>
      </c>
      <c r="Z269" s="403">
        <v>0</v>
      </c>
      <c r="AA269" s="407">
        <f t="shared" si="62"/>
        <v>0.78867165037377807</v>
      </c>
      <c r="AB269" s="411"/>
      <c r="AC269" s="446"/>
    </row>
    <row r="270" spans="1:29">
      <c r="A270" s="67">
        <v>218</v>
      </c>
      <c r="B270" s="74" t="s">
        <v>234</v>
      </c>
      <c r="C270" s="125" t="s">
        <v>366</v>
      </c>
      <c r="D270" s="387">
        <f t="shared" si="64"/>
        <v>0</v>
      </c>
      <c r="E270" s="104">
        <f t="shared" si="65"/>
        <v>4</v>
      </c>
      <c r="F270" s="83">
        <f t="shared" si="66"/>
        <v>556.50840000000005</v>
      </c>
      <c r="G270" s="83">
        <f t="shared" si="67"/>
        <v>0</v>
      </c>
      <c r="H270" s="483">
        <f t="shared" si="68"/>
        <v>0</v>
      </c>
      <c r="I270" s="83">
        <f>+'Costo adq'!C258*$I$1</f>
        <v>846.92</v>
      </c>
      <c r="J270" s="83">
        <f t="shared" si="72"/>
        <v>0</v>
      </c>
      <c r="L270" s="54">
        <f>VLOOKUP(A270,'Precios oferta'!$A$30:$U$436,$B$5,FALSE)</f>
        <v>4833.4543999999996</v>
      </c>
      <c r="M270" s="48">
        <f>VLOOKUP(A270,'Precios piso'!$A$30:$U$436,$B$5,FALSE)</f>
        <v>742.01120000000003</v>
      </c>
      <c r="N270" s="105">
        <f t="shared" si="69"/>
        <v>0.84648428668324671</v>
      </c>
      <c r="O270" s="131">
        <f t="shared" si="70"/>
        <v>652.96985600000005</v>
      </c>
      <c r="P270" s="388">
        <f t="shared" si="73"/>
        <v>0.86490617228125699</v>
      </c>
      <c r="Q270" s="131">
        <f t="shared" si="71"/>
        <v>593.60896000000002</v>
      </c>
      <c r="R270" s="105">
        <f t="shared" si="74"/>
        <v>0.87718742934659732</v>
      </c>
      <c r="S270" s="131">
        <f t="shared" si="60"/>
        <v>556.50840000000005</v>
      </c>
      <c r="T270" s="94">
        <f t="shared" si="61"/>
        <v>0.88486321501243492</v>
      </c>
      <c r="V270" s="82"/>
      <c r="W270" s="504">
        <v>222</v>
      </c>
      <c r="X270" s="506" t="s">
        <v>875</v>
      </c>
      <c r="Y270" s="508">
        <v>0</v>
      </c>
      <c r="Z270" s="403">
        <v>0</v>
      </c>
      <c r="AA270" s="407">
        <f t="shared" si="62"/>
        <v>0.85919864559819414</v>
      </c>
      <c r="AB270" s="411"/>
      <c r="AC270" s="446"/>
    </row>
    <row r="271" spans="1:29">
      <c r="A271" s="67">
        <v>219</v>
      </c>
      <c r="B271" s="74" t="s">
        <v>234</v>
      </c>
      <c r="C271" s="125" t="s">
        <v>365</v>
      </c>
      <c r="D271" s="387">
        <f t="shared" si="64"/>
        <v>0</v>
      </c>
      <c r="E271" s="104">
        <f t="shared" si="65"/>
        <v>4</v>
      </c>
      <c r="F271" s="83">
        <f t="shared" si="66"/>
        <v>5679.8280000000004</v>
      </c>
      <c r="G271" s="83">
        <f t="shared" si="67"/>
        <v>0</v>
      </c>
      <c r="H271" s="483">
        <f t="shared" si="68"/>
        <v>0</v>
      </c>
      <c r="I271" s="83">
        <f>+'Costo adq'!C259*$I$1</f>
        <v>10143.3696</v>
      </c>
      <c r="J271" s="83">
        <f t="shared" si="72"/>
        <v>0</v>
      </c>
      <c r="K271" s="358">
        <f t="shared" si="75"/>
        <v>0</v>
      </c>
      <c r="L271" s="54">
        <f>VLOOKUP(A271,'Precios oferta'!$A$30:$U$436,$B$5,FALSE)</f>
        <v>25107.08</v>
      </c>
      <c r="M271" s="48">
        <f>VLOOKUP(A271,'Precios piso'!$A$30:$U$436,$B$5,FALSE)</f>
        <v>7573.1040000000003</v>
      </c>
      <c r="N271" s="105">
        <f t="shared" si="69"/>
        <v>0.69836779107725788</v>
      </c>
      <c r="O271" s="131">
        <f t="shared" si="70"/>
        <v>6664.3315200000006</v>
      </c>
      <c r="P271" s="388">
        <f t="shared" si="73"/>
        <v>0.73456365614798691</v>
      </c>
      <c r="Q271" s="131">
        <f t="shared" si="71"/>
        <v>6058.4832000000006</v>
      </c>
      <c r="R271" s="105">
        <f t="shared" si="74"/>
        <v>0.75869423286180626</v>
      </c>
      <c r="S271" s="131">
        <f t="shared" si="60"/>
        <v>5679.8280000000004</v>
      </c>
      <c r="T271" s="94">
        <f t="shared" si="61"/>
        <v>0.77377584330794336</v>
      </c>
      <c r="V271" s="82"/>
      <c r="W271" s="504">
        <v>223</v>
      </c>
      <c r="X271" s="506" t="s">
        <v>876</v>
      </c>
      <c r="Y271" s="508">
        <v>0</v>
      </c>
      <c r="Z271" s="403">
        <v>0</v>
      </c>
      <c r="AA271" s="407">
        <f t="shared" si="62"/>
        <v>0.68653070719602982</v>
      </c>
      <c r="AB271" s="411"/>
      <c r="AC271" s="446"/>
    </row>
    <row r="272" spans="1:29">
      <c r="A272" s="67">
        <v>220</v>
      </c>
      <c r="B272" s="74" t="s">
        <v>235</v>
      </c>
      <c r="C272" s="125" t="s">
        <v>366</v>
      </c>
      <c r="D272" s="387">
        <f t="shared" si="64"/>
        <v>0</v>
      </c>
      <c r="E272" s="104">
        <f t="shared" si="65"/>
        <v>4</v>
      </c>
      <c r="F272" s="83">
        <f t="shared" si="66"/>
        <v>474.54839999999996</v>
      </c>
      <c r="G272" s="83">
        <f t="shared" si="67"/>
        <v>0</v>
      </c>
      <c r="H272" s="483">
        <f t="shared" si="68"/>
        <v>0</v>
      </c>
      <c r="I272" s="83">
        <f>+'Costo adq'!C260*$I$1</f>
        <v>737.64</v>
      </c>
      <c r="J272" s="83">
        <f t="shared" si="72"/>
        <v>0</v>
      </c>
      <c r="L272" s="54">
        <f>VLOOKUP(A272,'Precios oferta'!$A$30:$U$436,$B$5,FALSE)</f>
        <v>3955.9360000000001</v>
      </c>
      <c r="M272" s="48">
        <f>VLOOKUP(A272,'Precios piso'!$A$30:$U$436,$B$5,FALSE)</f>
        <v>632.73119999999994</v>
      </c>
      <c r="N272" s="105">
        <f t="shared" si="69"/>
        <v>0.84005524861878456</v>
      </c>
      <c r="O272" s="131">
        <f t="shared" si="70"/>
        <v>556.80345599999998</v>
      </c>
      <c r="P272" s="388">
        <f t="shared" si="73"/>
        <v>0.8592486187845304</v>
      </c>
      <c r="Q272" s="131">
        <f t="shared" si="71"/>
        <v>506.18495999999993</v>
      </c>
      <c r="R272" s="105">
        <f t="shared" si="74"/>
        <v>0.8720441988950276</v>
      </c>
      <c r="S272" s="131">
        <f t="shared" si="60"/>
        <v>474.54839999999996</v>
      </c>
      <c r="T272" s="94">
        <f t="shared" si="61"/>
        <v>0.88004143646408839</v>
      </c>
      <c r="V272" s="82"/>
      <c r="W272" s="504">
        <v>224</v>
      </c>
      <c r="X272" s="506" t="s">
        <v>877</v>
      </c>
      <c r="Y272" s="508">
        <v>0</v>
      </c>
      <c r="Z272" s="403">
        <v>0</v>
      </c>
      <c r="AA272" s="407">
        <f t="shared" si="62"/>
        <v>0.86586623453152622</v>
      </c>
      <c r="AB272" s="411"/>
      <c r="AC272" s="446"/>
    </row>
    <row r="273" spans="1:29">
      <c r="A273" s="67">
        <v>221</v>
      </c>
      <c r="B273" s="74" t="s">
        <v>235</v>
      </c>
      <c r="C273" s="125" t="s">
        <v>365</v>
      </c>
      <c r="D273" s="387">
        <f t="shared" si="64"/>
        <v>0</v>
      </c>
      <c r="E273" s="104">
        <f t="shared" si="65"/>
        <v>4</v>
      </c>
      <c r="F273" s="83">
        <f t="shared" si="66"/>
        <v>4417.6440000000002</v>
      </c>
      <c r="G273" s="83">
        <f t="shared" si="67"/>
        <v>0</v>
      </c>
      <c r="H273" s="483">
        <f t="shared" si="68"/>
        <v>0</v>
      </c>
      <c r="I273" s="83">
        <f>+'Costo adq'!C261*$I$1</f>
        <v>8842.9375999999993</v>
      </c>
      <c r="J273" s="83">
        <f t="shared" si="72"/>
        <v>0</v>
      </c>
      <c r="K273" s="358">
        <f t="shared" si="75"/>
        <v>0</v>
      </c>
      <c r="L273" s="54">
        <f>VLOOKUP(A273,'Precios oferta'!$A$30:$U$436,$B$5,FALSE)</f>
        <v>20904.171200000001</v>
      </c>
      <c r="M273" s="48">
        <f>VLOOKUP(A273,'Precios piso'!$A$30:$U$436,$B$5,FALSE)</f>
        <v>5890.192</v>
      </c>
      <c r="N273" s="105">
        <f t="shared" si="69"/>
        <v>0.71822886716503742</v>
      </c>
      <c r="O273" s="131">
        <f t="shared" si="70"/>
        <v>5183.3689599999998</v>
      </c>
      <c r="P273" s="388">
        <f t="shared" si="73"/>
        <v>0.75204140310523293</v>
      </c>
      <c r="Q273" s="131">
        <f t="shared" si="71"/>
        <v>4712.1535999999996</v>
      </c>
      <c r="R273" s="105">
        <f t="shared" si="74"/>
        <v>0.77458309373202994</v>
      </c>
      <c r="S273" s="131">
        <f t="shared" si="60"/>
        <v>4417.6440000000002</v>
      </c>
      <c r="T273" s="94">
        <f t="shared" si="61"/>
        <v>0.78867165037377807</v>
      </c>
      <c r="V273" s="82"/>
      <c r="W273" s="504">
        <v>225</v>
      </c>
      <c r="X273" s="506" t="s">
        <v>878</v>
      </c>
      <c r="Y273" s="508">
        <v>0</v>
      </c>
      <c r="Z273" s="403">
        <v>0</v>
      </c>
      <c r="AA273" s="407">
        <f t="shared" si="62"/>
        <v>0.79081051705398275</v>
      </c>
      <c r="AB273" s="411"/>
      <c r="AC273" s="446"/>
    </row>
    <row r="274" spans="1:29">
      <c r="A274" s="67">
        <v>222</v>
      </c>
      <c r="B274" s="74" t="s">
        <v>236</v>
      </c>
      <c r="C274" s="125" t="s">
        <v>366</v>
      </c>
      <c r="D274" s="387">
        <f t="shared" si="64"/>
        <v>0</v>
      </c>
      <c r="E274" s="104">
        <f t="shared" si="65"/>
        <v>4</v>
      </c>
      <c r="F274" s="83">
        <f t="shared" si="66"/>
        <v>408.98039999999997</v>
      </c>
      <c r="G274" s="83">
        <f t="shared" si="67"/>
        <v>0</v>
      </c>
      <c r="H274" s="483">
        <f t="shared" si="68"/>
        <v>0</v>
      </c>
      <c r="I274" s="83">
        <f>+'Costo adq'!C262*$I$1</f>
        <v>540.93600000000004</v>
      </c>
      <c r="J274" s="83">
        <f t="shared" si="72"/>
        <v>0</v>
      </c>
      <c r="L274" s="54">
        <f>VLOOKUP(A274,'Precios oferta'!$A$30:$U$436,$B$5,FALSE)</f>
        <v>2904.6624000000002</v>
      </c>
      <c r="M274" s="48">
        <f>VLOOKUP(A274,'Precios piso'!$A$30:$U$436,$B$5,FALSE)</f>
        <v>545.30719999999997</v>
      </c>
      <c r="N274" s="105">
        <f t="shared" si="69"/>
        <v>0.81226486079759219</v>
      </c>
      <c r="O274" s="131">
        <f t="shared" si="70"/>
        <v>479.87033599999995</v>
      </c>
      <c r="P274" s="388">
        <f t="shared" si="73"/>
        <v>0.83479307750188114</v>
      </c>
      <c r="Q274" s="131">
        <f t="shared" si="71"/>
        <v>436.24575999999996</v>
      </c>
      <c r="R274" s="105">
        <f t="shared" si="74"/>
        <v>0.84981188863807378</v>
      </c>
      <c r="S274" s="131">
        <f t="shared" si="60"/>
        <v>408.98039999999997</v>
      </c>
      <c r="T274" s="94">
        <f t="shared" si="61"/>
        <v>0.85919864559819414</v>
      </c>
      <c r="V274" s="82"/>
      <c r="W274" s="504">
        <v>226</v>
      </c>
      <c r="X274" s="506" t="s">
        <v>879</v>
      </c>
      <c r="Y274" s="508">
        <v>0</v>
      </c>
      <c r="Z274" s="403">
        <v>0</v>
      </c>
      <c r="AA274" s="407">
        <f t="shared" si="62"/>
        <v>0.86441693290734822</v>
      </c>
      <c r="AB274" s="411"/>
      <c r="AC274" s="446"/>
    </row>
    <row r="275" spans="1:29">
      <c r="A275" s="67">
        <v>223</v>
      </c>
      <c r="B275" s="74" t="s">
        <v>236</v>
      </c>
      <c r="C275" s="125" t="s">
        <v>365</v>
      </c>
      <c r="D275" s="387">
        <f t="shared" si="64"/>
        <v>0</v>
      </c>
      <c r="E275" s="104">
        <f t="shared" si="65"/>
        <v>4</v>
      </c>
      <c r="F275" s="83">
        <f t="shared" si="66"/>
        <v>4417.6440000000002</v>
      </c>
      <c r="G275" s="83">
        <f t="shared" si="67"/>
        <v>0</v>
      </c>
      <c r="H275" s="483">
        <f t="shared" si="68"/>
        <v>0</v>
      </c>
      <c r="I275" s="83">
        <f>+'Costo adq'!C263*$I$1</f>
        <v>6502.16</v>
      </c>
      <c r="J275" s="83">
        <f t="shared" si="72"/>
        <v>0</v>
      </c>
      <c r="K275" s="358">
        <f t="shared" si="75"/>
        <v>0</v>
      </c>
      <c r="L275" s="54">
        <f>VLOOKUP(A275,'Precios oferta'!$A$30:$U$436,$B$5,FALSE)</f>
        <v>14092.748799999999</v>
      </c>
      <c r="M275" s="48">
        <f>VLOOKUP(A275,'Precios piso'!$A$30:$U$436,$B$5,FALSE)</f>
        <v>5890.192</v>
      </c>
      <c r="N275" s="105">
        <f t="shared" si="69"/>
        <v>0.58204094292803976</v>
      </c>
      <c r="O275" s="131">
        <f t="shared" si="70"/>
        <v>5183.3689599999998</v>
      </c>
      <c r="P275" s="388">
        <f t="shared" si="73"/>
        <v>0.63219602977667488</v>
      </c>
      <c r="Q275" s="131">
        <f t="shared" si="71"/>
        <v>4712.1535999999996</v>
      </c>
      <c r="R275" s="105">
        <f t="shared" si="74"/>
        <v>0.66563275434243185</v>
      </c>
      <c r="S275" s="131">
        <f t="shared" si="60"/>
        <v>4417.6440000000002</v>
      </c>
      <c r="T275" s="94">
        <f t="shared" si="61"/>
        <v>0.68653070719602982</v>
      </c>
      <c r="V275" s="82"/>
      <c r="W275" s="504">
        <v>227</v>
      </c>
      <c r="X275" s="506" t="s">
        <v>880</v>
      </c>
      <c r="Y275" s="508">
        <v>0</v>
      </c>
      <c r="Z275" s="403">
        <v>0</v>
      </c>
      <c r="AA275" s="407">
        <f t="shared" si="62"/>
        <v>0.83818996917904176</v>
      </c>
      <c r="AB275" s="411"/>
      <c r="AC275" s="446"/>
    </row>
    <row r="276" spans="1:29">
      <c r="A276" s="67">
        <v>224</v>
      </c>
      <c r="B276" s="74" t="s">
        <v>237</v>
      </c>
      <c r="C276" s="125" t="s">
        <v>366</v>
      </c>
      <c r="D276" s="387">
        <f t="shared" si="64"/>
        <v>0</v>
      </c>
      <c r="E276" s="104">
        <f t="shared" si="65"/>
        <v>4</v>
      </c>
      <c r="F276" s="83">
        <f t="shared" si="66"/>
        <v>497.49720000000002</v>
      </c>
      <c r="G276" s="83">
        <f t="shared" si="67"/>
        <v>0</v>
      </c>
      <c r="H276" s="483">
        <f t="shared" si="68"/>
        <v>0</v>
      </c>
      <c r="I276" s="83">
        <f>+'Costo adq'!C264*$I$1</f>
        <v>595.57600000000002</v>
      </c>
      <c r="J276" s="83">
        <f t="shared" si="72"/>
        <v>0</v>
      </c>
      <c r="L276" s="54">
        <f>VLOOKUP(A276,'Precios oferta'!$A$30:$U$436,$B$5,FALSE)</f>
        <v>3708.9632000000001</v>
      </c>
      <c r="M276" s="48">
        <f>VLOOKUP(A276,'Precios piso'!$A$30:$U$436,$B$5,FALSE)</f>
        <v>663.32960000000003</v>
      </c>
      <c r="N276" s="105">
        <f t="shared" si="69"/>
        <v>0.8211549793753683</v>
      </c>
      <c r="O276" s="131">
        <f t="shared" si="70"/>
        <v>583.73004800000001</v>
      </c>
      <c r="P276" s="388">
        <f t="shared" si="73"/>
        <v>0.84261638185032406</v>
      </c>
      <c r="Q276" s="131">
        <f t="shared" si="71"/>
        <v>530.66368</v>
      </c>
      <c r="R276" s="105">
        <f t="shared" si="74"/>
        <v>0.85692398350029464</v>
      </c>
      <c r="S276" s="131">
        <f t="shared" si="60"/>
        <v>497.49720000000002</v>
      </c>
      <c r="T276" s="94">
        <f t="shared" si="61"/>
        <v>0.86586623453152622</v>
      </c>
      <c r="V276" s="82"/>
      <c r="W276" s="504">
        <v>228</v>
      </c>
      <c r="X276" s="506" t="s">
        <v>881</v>
      </c>
      <c r="Y276" s="508">
        <v>0</v>
      </c>
      <c r="Z276" s="403">
        <v>0</v>
      </c>
      <c r="AA276" s="407">
        <f t="shared" si="62"/>
        <v>0.69007858546168954</v>
      </c>
      <c r="AB276" s="411"/>
      <c r="AC276" s="446"/>
    </row>
    <row r="277" spans="1:29">
      <c r="A277" s="67">
        <v>225</v>
      </c>
      <c r="B277" s="74" t="s">
        <v>237</v>
      </c>
      <c r="C277" s="125" t="s">
        <v>365</v>
      </c>
      <c r="D277" s="387">
        <f t="shared" si="64"/>
        <v>0</v>
      </c>
      <c r="E277" s="104">
        <f t="shared" si="65"/>
        <v>4</v>
      </c>
      <c r="F277" s="83">
        <f t="shared" si="66"/>
        <v>4416.8243999999995</v>
      </c>
      <c r="G277" s="83">
        <f t="shared" si="67"/>
        <v>0</v>
      </c>
      <c r="H277" s="483">
        <f t="shared" si="68"/>
        <v>0</v>
      </c>
      <c r="I277" s="83">
        <f>+'Costo adq'!C265*$I$1</f>
        <v>7152.3760000000002</v>
      </c>
      <c r="J277" s="83">
        <f t="shared" si="72"/>
        <v>0</v>
      </c>
      <c r="K277" s="358">
        <f t="shared" si="75"/>
        <v>0</v>
      </c>
      <c r="L277" s="54">
        <f>VLOOKUP(A277,'Precios oferta'!$A$30:$U$436,$B$5,FALSE)</f>
        <v>21113.988799999999</v>
      </c>
      <c r="M277" s="48">
        <f>VLOOKUP(A277,'Precios piso'!$A$30:$U$436,$B$5,FALSE)</f>
        <v>5889.0991999999997</v>
      </c>
      <c r="N277" s="105">
        <f t="shared" si="69"/>
        <v>0.72108068940531034</v>
      </c>
      <c r="O277" s="131">
        <f t="shared" si="70"/>
        <v>5182.4072959999994</v>
      </c>
      <c r="P277" s="388">
        <f t="shared" si="73"/>
        <v>0.75455100667667308</v>
      </c>
      <c r="Q277" s="131">
        <f t="shared" si="71"/>
        <v>4711.2793599999995</v>
      </c>
      <c r="R277" s="105">
        <f t="shared" si="74"/>
        <v>0.77686455152424827</v>
      </c>
      <c r="S277" s="131">
        <f t="shared" si="60"/>
        <v>4416.8243999999995</v>
      </c>
      <c r="T277" s="94">
        <f t="shared" si="61"/>
        <v>0.79081051705398275</v>
      </c>
      <c r="V277" s="82"/>
      <c r="W277" s="504">
        <v>229</v>
      </c>
      <c r="X277" s="506" t="s">
        <v>882</v>
      </c>
      <c r="Y277" s="508">
        <v>0</v>
      </c>
      <c r="Z277" s="403">
        <v>0</v>
      </c>
      <c r="AA277" s="407">
        <f t="shared" si="62"/>
        <v>0.69201855406269996</v>
      </c>
      <c r="AB277" s="411"/>
      <c r="AC277" s="446"/>
    </row>
    <row r="278" spans="1:29">
      <c r="A278" s="67">
        <v>226</v>
      </c>
      <c r="B278" s="74" t="s">
        <v>238</v>
      </c>
      <c r="C278" s="125" t="s">
        <v>366</v>
      </c>
      <c r="D278" s="387">
        <f t="shared" si="64"/>
        <v>0</v>
      </c>
      <c r="E278" s="104">
        <f t="shared" si="65"/>
        <v>4</v>
      </c>
      <c r="F278" s="83">
        <f t="shared" si="66"/>
        <v>556.50840000000005</v>
      </c>
      <c r="G278" s="83">
        <f t="shared" si="67"/>
        <v>0</v>
      </c>
      <c r="H278" s="483">
        <f t="shared" si="68"/>
        <v>0</v>
      </c>
      <c r="I278" s="83">
        <f>+'Costo adq'!C266*$I$1</f>
        <v>814.13599999999997</v>
      </c>
      <c r="J278" s="83">
        <f t="shared" si="72"/>
        <v>0</v>
      </c>
      <c r="L278" s="54">
        <f>VLOOKUP(A278,'Precios oferta'!$A$30:$U$436,$B$5,FALSE)</f>
        <v>4104.5568000000003</v>
      </c>
      <c r="M278" s="48">
        <f>VLOOKUP(A278,'Precios piso'!$A$30:$U$436,$B$5,FALSE)</f>
        <v>742.01120000000003</v>
      </c>
      <c r="N278" s="105">
        <f t="shared" si="69"/>
        <v>0.81922257720979763</v>
      </c>
      <c r="O278" s="131">
        <f t="shared" si="70"/>
        <v>652.96985600000005</v>
      </c>
      <c r="P278" s="388">
        <f t="shared" si="73"/>
        <v>0.84091586794462192</v>
      </c>
      <c r="Q278" s="131">
        <f t="shared" si="71"/>
        <v>593.60896000000002</v>
      </c>
      <c r="R278" s="105">
        <f t="shared" si="74"/>
        <v>0.85537806176783815</v>
      </c>
      <c r="S278" s="131">
        <f t="shared" si="60"/>
        <v>556.50840000000005</v>
      </c>
      <c r="T278" s="94">
        <f t="shared" si="61"/>
        <v>0.86441693290734822</v>
      </c>
      <c r="V278" s="82"/>
      <c r="W278" s="504">
        <v>230</v>
      </c>
      <c r="X278" s="506" t="s">
        <v>883</v>
      </c>
      <c r="Y278" s="508">
        <v>0</v>
      </c>
      <c r="Z278" s="403">
        <v>0</v>
      </c>
      <c r="AA278" s="407">
        <f t="shared" si="62"/>
        <v>0.97256982062225972</v>
      </c>
      <c r="AB278" s="411"/>
      <c r="AC278" s="446"/>
    </row>
    <row r="279" spans="1:29">
      <c r="A279" s="67">
        <v>227</v>
      </c>
      <c r="B279" s="74" t="s">
        <v>238</v>
      </c>
      <c r="C279" s="125" t="s">
        <v>365</v>
      </c>
      <c r="D279" s="387">
        <f t="shared" si="64"/>
        <v>0</v>
      </c>
      <c r="E279" s="104">
        <f t="shared" si="65"/>
        <v>4</v>
      </c>
      <c r="F279" s="83">
        <f t="shared" si="66"/>
        <v>3786.5519999999997</v>
      </c>
      <c r="G279" s="83">
        <f t="shared" si="67"/>
        <v>0</v>
      </c>
      <c r="H279" s="483">
        <f t="shared" si="68"/>
        <v>0</v>
      </c>
      <c r="I279" s="83">
        <f>+'Costo adq'!C267*$I$1</f>
        <v>9753.24</v>
      </c>
      <c r="J279" s="83">
        <f t="shared" si="72"/>
        <v>0</v>
      </c>
      <c r="K279" s="358">
        <f t="shared" si="75"/>
        <v>0</v>
      </c>
      <c r="L279" s="54">
        <f>VLOOKUP(A279,'Precios oferta'!$A$30:$U$436,$B$5,FALSE)</f>
        <v>23401.2192</v>
      </c>
      <c r="M279" s="48">
        <f>VLOOKUP(A279,'Precios piso'!$A$30:$U$436,$B$5,FALSE)</f>
        <v>5048.7359999999999</v>
      </c>
      <c r="N279" s="105">
        <f t="shared" si="69"/>
        <v>0.78425329223872231</v>
      </c>
      <c r="O279" s="131">
        <f t="shared" si="70"/>
        <v>4442.8876799999998</v>
      </c>
      <c r="P279" s="388">
        <f t="shared" si="73"/>
        <v>0.8101428971700757</v>
      </c>
      <c r="Q279" s="131">
        <f t="shared" si="71"/>
        <v>4038.9888000000001</v>
      </c>
      <c r="R279" s="105">
        <f t="shared" si="74"/>
        <v>0.82740263379097789</v>
      </c>
      <c r="S279" s="131">
        <f t="shared" si="60"/>
        <v>3786.5519999999997</v>
      </c>
      <c r="T279" s="94">
        <f t="shared" si="61"/>
        <v>0.83818996917904176</v>
      </c>
      <c r="V279" s="82"/>
      <c r="W279" s="504">
        <v>231</v>
      </c>
      <c r="X279" s="506" t="s">
        <v>884</v>
      </c>
      <c r="Y279" s="508">
        <v>0</v>
      </c>
      <c r="Z279" s="403">
        <v>0</v>
      </c>
      <c r="AA279" s="407">
        <f t="shared" si="62"/>
        <v>0.76805513934671854</v>
      </c>
      <c r="AB279" s="411"/>
      <c r="AC279" s="446"/>
    </row>
    <row r="280" spans="1:29">
      <c r="A280" s="67">
        <v>228</v>
      </c>
      <c r="B280" s="74" t="s">
        <v>239</v>
      </c>
      <c r="C280" s="125" t="s">
        <v>366</v>
      </c>
      <c r="D280" s="387">
        <f t="shared" si="64"/>
        <v>0</v>
      </c>
      <c r="E280" s="104">
        <f t="shared" si="65"/>
        <v>4</v>
      </c>
      <c r="F280" s="83">
        <f t="shared" si="66"/>
        <v>517.16759999999999</v>
      </c>
      <c r="G280" s="83">
        <f t="shared" si="67"/>
        <v>0</v>
      </c>
      <c r="H280" s="483">
        <f t="shared" si="68"/>
        <v>0</v>
      </c>
      <c r="I280" s="83">
        <f>+'Costo adq'!C268*$I$1</f>
        <v>737.64</v>
      </c>
      <c r="J280" s="83">
        <f t="shared" si="72"/>
        <v>0</v>
      </c>
      <c r="L280" s="54">
        <f>VLOOKUP(A280,'Precios oferta'!$A$30:$U$436,$B$5,FALSE)</f>
        <v>1668.7056</v>
      </c>
      <c r="M280" s="48">
        <f>VLOOKUP(A280,'Precios piso'!$A$30:$U$436,$B$5,FALSE)</f>
        <v>689.55679999999995</v>
      </c>
      <c r="N280" s="105">
        <f t="shared" si="69"/>
        <v>0.58677144728225283</v>
      </c>
      <c r="O280" s="131">
        <f t="shared" si="70"/>
        <v>606.80998399999999</v>
      </c>
      <c r="P280" s="388">
        <f t="shared" si="73"/>
        <v>0.6363588736083825</v>
      </c>
      <c r="Q280" s="131">
        <f t="shared" si="71"/>
        <v>551.64544000000001</v>
      </c>
      <c r="R280" s="105">
        <f t="shared" si="74"/>
        <v>0.66941715782580224</v>
      </c>
      <c r="S280" s="131">
        <f t="shared" si="60"/>
        <v>517.16759999999999</v>
      </c>
      <c r="T280" s="94">
        <f t="shared" si="61"/>
        <v>0.69007858546168954</v>
      </c>
      <c r="V280" s="82"/>
      <c r="W280" s="504">
        <v>232</v>
      </c>
      <c r="X280" s="506" t="s">
        <v>885</v>
      </c>
      <c r="Y280" s="508">
        <v>0</v>
      </c>
      <c r="Z280" s="403">
        <v>0</v>
      </c>
      <c r="AA280" s="407">
        <f t="shared" si="62"/>
        <v>0.61913283566826882</v>
      </c>
      <c r="AB280" s="411"/>
      <c r="AC280" s="446"/>
    </row>
    <row r="281" spans="1:29">
      <c r="A281" s="67">
        <v>229</v>
      </c>
      <c r="B281" s="74" t="s">
        <v>239</v>
      </c>
      <c r="C281" s="125" t="s">
        <v>365</v>
      </c>
      <c r="D281" s="387">
        <f t="shared" si="64"/>
        <v>0</v>
      </c>
      <c r="E281" s="104">
        <f t="shared" si="65"/>
        <v>4</v>
      </c>
      <c r="F281" s="83">
        <f t="shared" si="66"/>
        <v>3156.2795999999998</v>
      </c>
      <c r="G281" s="83">
        <f t="shared" si="67"/>
        <v>0</v>
      </c>
      <c r="H281" s="483">
        <f t="shared" si="68"/>
        <v>0</v>
      </c>
      <c r="I281" s="83">
        <f>+'Costo adq'!C269*$I$1</f>
        <v>8840.7520000000004</v>
      </c>
      <c r="J281" s="83">
        <f t="shared" si="72"/>
        <v>0</v>
      </c>
      <c r="K281" s="358">
        <f t="shared" si="75"/>
        <v>0</v>
      </c>
      <c r="L281" s="54">
        <f>VLOOKUP(A281,'Precios oferta'!$A$30:$U$436,$B$5,FALSE)</f>
        <v>10248.278399999999</v>
      </c>
      <c r="M281" s="48">
        <f>VLOOKUP(A281,'Precios piso'!$A$30:$U$436,$B$5,FALSE)</f>
        <v>4208.3728000000001</v>
      </c>
      <c r="N281" s="105">
        <f t="shared" si="69"/>
        <v>0.5893580720835998</v>
      </c>
      <c r="O281" s="131">
        <f t="shared" si="70"/>
        <v>3703.3680640000002</v>
      </c>
      <c r="P281" s="388">
        <f t="shared" si="73"/>
        <v>0.63863510343356789</v>
      </c>
      <c r="Q281" s="131">
        <f t="shared" si="71"/>
        <v>3366.6982400000002</v>
      </c>
      <c r="R281" s="105">
        <f t="shared" si="74"/>
        <v>0.67148645766687987</v>
      </c>
      <c r="S281" s="131">
        <f t="shared" si="60"/>
        <v>3156.2795999999998</v>
      </c>
      <c r="T281" s="94">
        <f t="shared" si="61"/>
        <v>0.69201855406269996</v>
      </c>
      <c r="V281" s="82"/>
      <c r="W281" s="504">
        <v>233</v>
      </c>
      <c r="X281" s="506" t="s">
        <v>886</v>
      </c>
      <c r="Y281" s="508">
        <v>0</v>
      </c>
      <c r="Z281" s="403">
        <v>0</v>
      </c>
      <c r="AA281" s="407">
        <f t="shared" si="62"/>
        <v>0.95160258363292916</v>
      </c>
      <c r="AB281" s="411"/>
      <c r="AC281" s="446"/>
    </row>
    <row r="282" spans="1:29">
      <c r="A282" s="67">
        <v>230</v>
      </c>
      <c r="B282" s="74" t="s">
        <v>240</v>
      </c>
      <c r="C282" s="125" t="s">
        <v>365</v>
      </c>
      <c r="D282" s="387">
        <f t="shared" si="64"/>
        <v>0</v>
      </c>
      <c r="E282" s="104">
        <f t="shared" si="65"/>
        <v>4</v>
      </c>
      <c r="F282" s="83">
        <f t="shared" si="66"/>
        <v>4122.5879999999997</v>
      </c>
      <c r="G282" s="83">
        <f t="shared" si="67"/>
        <v>0</v>
      </c>
      <c r="H282" s="483">
        <f t="shared" si="68"/>
        <v>0</v>
      </c>
      <c r="I282" s="83">
        <f>+'Costo adq'!C270*$I$1</f>
        <v>62420.735999999997</v>
      </c>
      <c r="J282" s="83">
        <f t="shared" si="72"/>
        <v>0</v>
      </c>
      <c r="K282" s="358">
        <f t="shared" si="75"/>
        <v>0</v>
      </c>
      <c r="L282" s="54">
        <f>VLOOKUP(A282,'Precios oferta'!$A$30:$U$436,$B$5,FALSE)</f>
        <v>150293.8768</v>
      </c>
      <c r="M282" s="48">
        <f>VLOOKUP(A282,'Precios piso'!$A$30:$U$436,$B$5,FALSE)</f>
        <v>5496.7839999999997</v>
      </c>
      <c r="N282" s="105">
        <f t="shared" si="69"/>
        <v>0.96342642749634633</v>
      </c>
      <c r="O282" s="131">
        <f t="shared" si="70"/>
        <v>4837.1699199999994</v>
      </c>
      <c r="P282" s="388">
        <f t="shared" si="73"/>
        <v>0.96781525619678477</v>
      </c>
      <c r="Q282" s="131">
        <f t="shared" si="71"/>
        <v>4397.4272000000001</v>
      </c>
      <c r="R282" s="105">
        <f t="shared" si="74"/>
        <v>0.97074114199707706</v>
      </c>
      <c r="S282" s="131">
        <f t="shared" si="60"/>
        <v>4122.5879999999997</v>
      </c>
      <c r="T282" s="94">
        <f t="shared" si="61"/>
        <v>0.97256982062225972</v>
      </c>
      <c r="V282" s="82"/>
      <c r="W282" s="504">
        <v>234</v>
      </c>
      <c r="X282" s="506" t="s">
        <v>887</v>
      </c>
      <c r="Y282" s="508">
        <v>0</v>
      </c>
      <c r="Z282" s="403">
        <v>0</v>
      </c>
      <c r="AA282" s="407">
        <f t="shared" si="62"/>
        <v>0.97896047683710241</v>
      </c>
      <c r="AB282" s="411"/>
      <c r="AC282" s="446"/>
    </row>
    <row r="283" spans="1:29">
      <c r="A283" s="67">
        <v>231</v>
      </c>
      <c r="B283" s="74" t="s">
        <v>241</v>
      </c>
      <c r="C283" s="125" t="s">
        <v>366</v>
      </c>
      <c r="D283" s="387">
        <f t="shared" si="64"/>
        <v>0</v>
      </c>
      <c r="E283" s="104">
        <f t="shared" si="65"/>
        <v>4</v>
      </c>
      <c r="F283" s="83">
        <f t="shared" si="66"/>
        <v>845.82720000000006</v>
      </c>
      <c r="G283" s="83">
        <f t="shared" si="67"/>
        <v>0</v>
      </c>
      <c r="H283" s="483">
        <f t="shared" si="68"/>
        <v>0</v>
      </c>
      <c r="I283" s="83">
        <f>+'Costo adq'!C271*$I$1</f>
        <v>1737.5519999999999</v>
      </c>
      <c r="J283" s="83">
        <f t="shared" si="72"/>
        <v>0</v>
      </c>
      <c r="L283" s="54">
        <f>VLOOKUP(A283,'Precios oferta'!$A$30:$U$436,$B$5,FALSE)</f>
        <v>3646.6736000000001</v>
      </c>
      <c r="M283" s="48">
        <f>VLOOKUP(A283,'Precios piso'!$A$30:$U$436,$B$5,FALSE)</f>
        <v>1127.7696000000001</v>
      </c>
      <c r="N283" s="105">
        <f t="shared" si="69"/>
        <v>0.69074018579562479</v>
      </c>
      <c r="O283" s="131">
        <f t="shared" si="70"/>
        <v>992.43724800000007</v>
      </c>
      <c r="P283" s="388">
        <f t="shared" si="73"/>
        <v>0.72785136350014978</v>
      </c>
      <c r="Q283" s="131">
        <f t="shared" si="71"/>
        <v>902.21568000000002</v>
      </c>
      <c r="R283" s="105">
        <f t="shared" si="74"/>
        <v>0.75259214863649981</v>
      </c>
      <c r="S283" s="131">
        <f t="shared" si="60"/>
        <v>845.82720000000006</v>
      </c>
      <c r="T283" s="94">
        <f t="shared" si="61"/>
        <v>0.76805513934671854</v>
      </c>
      <c r="V283" s="82"/>
      <c r="W283" s="504">
        <v>235</v>
      </c>
      <c r="X283" s="506" t="s">
        <v>888</v>
      </c>
      <c r="Y283" s="508">
        <v>0</v>
      </c>
      <c r="Z283" s="403">
        <v>0</v>
      </c>
      <c r="AA283" s="407">
        <f t="shared" si="62"/>
        <v>0.89836161221142929</v>
      </c>
      <c r="AB283" s="411"/>
      <c r="AC283" s="446"/>
    </row>
    <row r="284" spans="1:29">
      <c r="A284" s="67">
        <v>232</v>
      </c>
      <c r="B284" s="74" t="s">
        <v>241</v>
      </c>
      <c r="C284" s="125" t="s">
        <v>365</v>
      </c>
      <c r="D284" s="387">
        <f t="shared" si="64"/>
        <v>0</v>
      </c>
      <c r="E284" s="104">
        <f t="shared" si="65"/>
        <v>4</v>
      </c>
      <c r="F284" s="83">
        <f t="shared" si="66"/>
        <v>8140.2672000000002</v>
      </c>
      <c r="G284" s="83">
        <f t="shared" si="67"/>
        <v>0</v>
      </c>
      <c r="H284" s="483">
        <f t="shared" si="68"/>
        <v>0</v>
      </c>
      <c r="I284" s="481">
        <f>+'Costo adq'!C272*$I$1</f>
        <v>20806.912</v>
      </c>
      <c r="J284" s="83">
        <f t="shared" si="72"/>
        <v>0</v>
      </c>
      <c r="K284" s="358">
        <f t="shared" si="75"/>
        <v>0</v>
      </c>
      <c r="L284" s="54">
        <f>VLOOKUP(A284,'Precios oferta'!$A$30:$U$436,$B$5,FALSE)</f>
        <v>21372.982400000001</v>
      </c>
      <c r="M284" s="48">
        <f>VLOOKUP(A284,'Precios piso'!$A$30:$U$436,$B$5,FALSE)</f>
        <v>10853.6896</v>
      </c>
      <c r="N284" s="105">
        <f t="shared" si="69"/>
        <v>0.49217711422435839</v>
      </c>
      <c r="O284" s="131">
        <f t="shared" si="70"/>
        <v>9551.2468479999989</v>
      </c>
      <c r="P284" s="388">
        <f t="shared" si="73"/>
        <v>0.55311586051743533</v>
      </c>
      <c r="Q284" s="131">
        <f t="shared" si="71"/>
        <v>8682.9516800000001</v>
      </c>
      <c r="R284" s="105">
        <f t="shared" si="74"/>
        <v>0.59374169137948662</v>
      </c>
      <c r="S284" s="131">
        <f t="shared" si="60"/>
        <v>8140.2672000000002</v>
      </c>
      <c r="T284" s="94">
        <f t="shared" si="61"/>
        <v>0.61913283566826882</v>
      </c>
      <c r="V284" s="82"/>
      <c r="W284" s="504">
        <v>236</v>
      </c>
      <c r="X284" s="506" t="s">
        <v>889</v>
      </c>
      <c r="Y284" s="508">
        <v>0</v>
      </c>
      <c r="Z284" s="403">
        <v>0</v>
      </c>
      <c r="AA284" s="407">
        <f t="shared" si="62"/>
        <v>0.98164208691491361</v>
      </c>
      <c r="AB284" s="411"/>
      <c r="AC284" s="446"/>
    </row>
    <row r="285" spans="1:29">
      <c r="A285" s="67">
        <v>233</v>
      </c>
      <c r="B285" s="74" t="s">
        <v>242</v>
      </c>
      <c r="C285" s="125" t="s">
        <v>366</v>
      </c>
      <c r="D285" s="387">
        <f t="shared" si="64"/>
        <v>0</v>
      </c>
      <c r="E285" s="104">
        <f t="shared" si="65"/>
        <v>4</v>
      </c>
      <c r="F285" s="83">
        <f t="shared" si="66"/>
        <v>3471.8256000000001</v>
      </c>
      <c r="G285" s="83">
        <f t="shared" si="67"/>
        <v>0</v>
      </c>
      <c r="H285" s="483">
        <f t="shared" si="68"/>
        <v>0</v>
      </c>
      <c r="I285" s="83">
        <f>+'Costo adq'!C273*$I$1</f>
        <v>20588.351999999999</v>
      </c>
      <c r="J285" s="83">
        <f t="shared" si="72"/>
        <v>0</v>
      </c>
      <c r="L285" s="54">
        <f>VLOOKUP(A285,'Precios oferta'!$A$30:$U$436,$B$5,FALSE)</f>
        <v>71735.763200000001</v>
      </c>
      <c r="M285" s="48">
        <f>VLOOKUP(A285,'Precios piso'!$A$30:$U$436,$B$5,FALSE)</f>
        <v>4629.1008000000002</v>
      </c>
      <c r="N285" s="105">
        <f t="shared" si="69"/>
        <v>0.93547011151057213</v>
      </c>
      <c r="O285" s="131">
        <f t="shared" si="70"/>
        <v>4073.6087040000002</v>
      </c>
      <c r="P285" s="388">
        <f t="shared" si="73"/>
        <v>0.94321369812930356</v>
      </c>
      <c r="Q285" s="131">
        <f t="shared" si="71"/>
        <v>3703.2806399999999</v>
      </c>
      <c r="R285" s="105">
        <f t="shared" si="74"/>
        <v>0.94837608920845773</v>
      </c>
      <c r="S285" s="131">
        <f t="shared" si="60"/>
        <v>3471.8256000000001</v>
      </c>
      <c r="T285" s="94">
        <f t="shared" si="61"/>
        <v>0.95160258363292916</v>
      </c>
      <c r="V285" s="82"/>
      <c r="W285" s="504">
        <v>237</v>
      </c>
      <c r="X285" s="506" t="s">
        <v>890</v>
      </c>
      <c r="Y285" s="508">
        <v>0</v>
      </c>
      <c r="Z285" s="403">
        <v>0</v>
      </c>
      <c r="AA285" s="407">
        <f t="shared" si="62"/>
        <v>0.98911914856796745</v>
      </c>
      <c r="AB285" s="411"/>
      <c r="AC285" s="446"/>
    </row>
    <row r="286" spans="1:29">
      <c r="A286" s="67">
        <v>234</v>
      </c>
      <c r="B286" s="74" t="s">
        <v>242</v>
      </c>
      <c r="C286" s="125" t="s">
        <v>365</v>
      </c>
      <c r="D286" s="387">
        <f t="shared" si="64"/>
        <v>0</v>
      </c>
      <c r="E286" s="104">
        <f t="shared" si="65"/>
        <v>4</v>
      </c>
      <c r="F286" s="83">
        <f t="shared" si="66"/>
        <v>7043.6423999999997</v>
      </c>
      <c r="G286" s="83">
        <f t="shared" si="67"/>
        <v>0</v>
      </c>
      <c r="H286" s="483">
        <f t="shared" si="68"/>
        <v>0</v>
      </c>
      <c r="I286" s="83">
        <f>+'Costo adq'!C274*$I$1</f>
        <v>247082.08</v>
      </c>
      <c r="J286" s="83">
        <f t="shared" si="72"/>
        <v>0</v>
      </c>
      <c r="K286" s="358">
        <f t="shared" si="75"/>
        <v>0</v>
      </c>
      <c r="L286" s="54">
        <f>VLOOKUP(A286,'Precios oferta'!$A$30:$U$436,$B$5,FALSE)</f>
        <v>334781.4656</v>
      </c>
      <c r="M286" s="48">
        <f>VLOOKUP(A286,'Precios piso'!$A$30:$U$436,$B$5,FALSE)</f>
        <v>9391.5231999999996</v>
      </c>
      <c r="N286" s="105">
        <f t="shared" si="69"/>
        <v>0.97194730244946992</v>
      </c>
      <c r="O286" s="131">
        <f t="shared" si="70"/>
        <v>8264.5404159999998</v>
      </c>
      <c r="P286" s="388">
        <f t="shared" si="73"/>
        <v>0.97531362615553352</v>
      </c>
      <c r="Q286" s="131">
        <f t="shared" si="71"/>
        <v>7513.2185599999993</v>
      </c>
      <c r="R286" s="105">
        <f t="shared" si="74"/>
        <v>0.97755784195957596</v>
      </c>
      <c r="S286" s="131">
        <f t="shared" si="60"/>
        <v>7043.6423999999997</v>
      </c>
      <c r="T286" s="94">
        <f t="shared" si="61"/>
        <v>0.97896047683710241</v>
      </c>
      <c r="V286" s="82"/>
      <c r="W286" s="504">
        <v>238</v>
      </c>
      <c r="X286" s="506" t="s">
        <v>891</v>
      </c>
      <c r="Y286" s="508">
        <v>0</v>
      </c>
      <c r="Z286" s="403">
        <v>0</v>
      </c>
      <c r="AA286" s="407">
        <f t="shared" si="62"/>
        <v>0.98274670785238172</v>
      </c>
      <c r="AB286" s="411"/>
      <c r="AC286" s="446"/>
    </row>
    <row r="287" spans="1:29">
      <c r="A287" s="67">
        <v>235</v>
      </c>
      <c r="B287" s="74" t="s">
        <v>243</v>
      </c>
      <c r="C287" s="125" t="s">
        <v>366</v>
      </c>
      <c r="D287" s="387">
        <f t="shared" si="64"/>
        <v>0</v>
      </c>
      <c r="E287" s="104">
        <f t="shared" si="65"/>
        <v>4</v>
      </c>
      <c r="F287" s="83">
        <f t="shared" si="66"/>
        <v>3521.8211999999999</v>
      </c>
      <c r="G287" s="83">
        <f t="shared" si="67"/>
        <v>0</v>
      </c>
      <c r="H287" s="483">
        <f t="shared" si="68"/>
        <v>0</v>
      </c>
      <c r="I287" s="83">
        <f>+'Costo adq'!C275*$I$1</f>
        <v>9753.24</v>
      </c>
      <c r="J287" s="83">
        <f t="shared" si="72"/>
        <v>0</v>
      </c>
      <c r="L287" s="54">
        <f>VLOOKUP(A287,'Precios oferta'!$A$30:$U$436,$B$5,FALSE)</f>
        <v>34650.502399999998</v>
      </c>
      <c r="M287" s="48">
        <f>VLOOKUP(A287,'Precios piso'!$A$30:$U$436,$B$5,FALSE)</f>
        <v>4695.7615999999998</v>
      </c>
      <c r="N287" s="105">
        <f t="shared" si="69"/>
        <v>0.86448214961523906</v>
      </c>
      <c r="O287" s="131">
        <f t="shared" si="70"/>
        <v>4132.2702079999999</v>
      </c>
      <c r="P287" s="388">
        <f t="shared" si="73"/>
        <v>0.88074429166141033</v>
      </c>
      <c r="Q287" s="131">
        <f t="shared" si="71"/>
        <v>3756.6092799999997</v>
      </c>
      <c r="R287" s="105">
        <f t="shared" si="74"/>
        <v>0.89158571969219125</v>
      </c>
      <c r="S287" s="131">
        <f t="shared" si="60"/>
        <v>3521.8211999999999</v>
      </c>
      <c r="T287" s="94">
        <f t="shared" si="61"/>
        <v>0.89836161221142929</v>
      </c>
      <c r="V287" s="82"/>
      <c r="W287" s="504">
        <v>239</v>
      </c>
      <c r="X287" s="506" t="s">
        <v>892</v>
      </c>
      <c r="Y287" s="508">
        <v>0</v>
      </c>
      <c r="Z287" s="403">
        <v>0</v>
      </c>
      <c r="AA287" s="407">
        <f t="shared" si="62"/>
        <v>0.84596028291621328</v>
      </c>
      <c r="AB287" s="411"/>
      <c r="AC287" s="446"/>
    </row>
    <row r="288" spans="1:29">
      <c r="A288" s="67">
        <v>236</v>
      </c>
      <c r="B288" s="74" t="s">
        <v>243</v>
      </c>
      <c r="C288" s="125" t="s">
        <v>365</v>
      </c>
      <c r="D288" s="387">
        <f t="shared" si="64"/>
        <v>0</v>
      </c>
      <c r="E288" s="104">
        <f t="shared" si="65"/>
        <v>4</v>
      </c>
      <c r="F288" s="83">
        <f t="shared" si="66"/>
        <v>3521.8211999999999</v>
      </c>
      <c r="G288" s="83">
        <f t="shared" si="67"/>
        <v>0</v>
      </c>
      <c r="H288" s="483">
        <f t="shared" si="68"/>
        <v>0</v>
      </c>
      <c r="I288" s="83">
        <f>+'Costo adq'!C276*$I$1</f>
        <v>117038.88</v>
      </c>
      <c r="J288" s="83">
        <f t="shared" si="72"/>
        <v>0</v>
      </c>
      <c r="K288" s="358">
        <f t="shared" si="75"/>
        <v>0</v>
      </c>
      <c r="L288" s="54">
        <f>VLOOKUP(A288,'Precios oferta'!$A$30:$U$436,$B$5,FALSE)</f>
        <v>191842.13279999999</v>
      </c>
      <c r="M288" s="48">
        <f>VLOOKUP(A288,'Precios piso'!$A$30:$U$436,$B$5,FALSE)</f>
        <v>4695.7615999999998</v>
      </c>
      <c r="N288" s="105">
        <f t="shared" si="69"/>
        <v>0.97552278255321812</v>
      </c>
      <c r="O288" s="131">
        <f t="shared" si="70"/>
        <v>4132.2702079999999</v>
      </c>
      <c r="P288" s="388">
        <f t="shared" si="73"/>
        <v>0.978460048646832</v>
      </c>
      <c r="Q288" s="131">
        <f t="shared" si="71"/>
        <v>3756.6092799999997</v>
      </c>
      <c r="R288" s="105">
        <f t="shared" si="74"/>
        <v>0.98041822604257456</v>
      </c>
      <c r="S288" s="131">
        <f t="shared" si="60"/>
        <v>3521.8211999999999</v>
      </c>
      <c r="T288" s="94">
        <f t="shared" si="61"/>
        <v>0.98164208691491361</v>
      </c>
      <c r="V288" s="82"/>
      <c r="W288" s="504">
        <v>240</v>
      </c>
      <c r="X288" s="506" t="s">
        <v>893</v>
      </c>
      <c r="Y288" s="508">
        <v>0</v>
      </c>
      <c r="Z288" s="403">
        <v>0</v>
      </c>
      <c r="AA288" s="407">
        <f t="shared" si="62"/>
        <v>0.97647681954137588</v>
      </c>
      <c r="AB288" s="411"/>
      <c r="AC288" s="446"/>
    </row>
    <row r="289" spans="1:29" ht="25.5">
      <c r="A289" s="67">
        <v>237</v>
      </c>
      <c r="B289" s="74" t="s">
        <v>244</v>
      </c>
      <c r="C289" s="125" t="s">
        <v>365</v>
      </c>
      <c r="D289" s="387">
        <f t="shared" si="64"/>
        <v>0</v>
      </c>
      <c r="E289" s="104">
        <f t="shared" si="65"/>
        <v>4</v>
      </c>
      <c r="F289" s="83">
        <f t="shared" si="66"/>
        <v>412.25880000000001</v>
      </c>
      <c r="G289" s="83">
        <f t="shared" si="67"/>
        <v>0</v>
      </c>
      <c r="H289" s="483">
        <f t="shared" si="68"/>
        <v>0</v>
      </c>
      <c r="I289" s="83">
        <f>+'Costo adq'!C277*$I$1</f>
        <v>10403.456</v>
      </c>
      <c r="J289" s="83">
        <f t="shared" si="72"/>
        <v>0</v>
      </c>
      <c r="K289" s="358">
        <f t="shared" si="75"/>
        <v>0</v>
      </c>
      <c r="L289" s="54">
        <f>VLOOKUP(A289,'Precios oferta'!$A$30:$U$436,$B$5,FALSE)</f>
        <v>37888.468800000002</v>
      </c>
      <c r="M289" s="48">
        <f>VLOOKUP(A289,'Precios piso'!$A$30:$U$436,$B$5,FALSE)</f>
        <v>549.67840000000001</v>
      </c>
      <c r="N289" s="105">
        <f t="shared" si="69"/>
        <v>0.98549219809062327</v>
      </c>
      <c r="O289" s="131">
        <f t="shared" si="70"/>
        <v>483.716992</v>
      </c>
      <c r="P289" s="388">
        <f t="shared" si="73"/>
        <v>0.98723313431974846</v>
      </c>
      <c r="Q289" s="131">
        <f t="shared" si="71"/>
        <v>439.74272000000002</v>
      </c>
      <c r="R289" s="105">
        <f t="shared" si="74"/>
        <v>0.98839375847249866</v>
      </c>
      <c r="S289" s="131">
        <f t="shared" si="60"/>
        <v>412.25880000000001</v>
      </c>
      <c r="T289" s="94">
        <f t="shared" si="61"/>
        <v>0.98911914856796745</v>
      </c>
      <c r="V289" s="82"/>
      <c r="W289" s="504">
        <v>241</v>
      </c>
      <c r="X289" s="506" t="s">
        <v>894</v>
      </c>
      <c r="Y289" s="508">
        <v>0</v>
      </c>
      <c r="Z289" s="403">
        <v>0</v>
      </c>
      <c r="AA289" s="407">
        <f t="shared" si="62"/>
        <v>0.74451808416280674</v>
      </c>
      <c r="AB289" s="411"/>
      <c r="AC289" s="446"/>
    </row>
    <row r="290" spans="1:29">
      <c r="A290" s="67">
        <v>238</v>
      </c>
      <c r="B290" s="74" t="s">
        <v>245</v>
      </c>
      <c r="C290" s="125" t="s">
        <v>365</v>
      </c>
      <c r="D290" s="387">
        <f t="shared" si="64"/>
        <v>0</v>
      </c>
      <c r="E290" s="104">
        <f t="shared" si="65"/>
        <v>4</v>
      </c>
      <c r="F290" s="83">
        <f t="shared" si="66"/>
        <v>463.89359999999999</v>
      </c>
      <c r="G290" s="83">
        <f t="shared" si="67"/>
        <v>0</v>
      </c>
      <c r="H290" s="483">
        <f t="shared" si="68"/>
        <v>0</v>
      </c>
      <c r="I290" s="83">
        <f>+'Costo adq'!C278*$I$1</f>
        <v>11053.672</v>
      </c>
      <c r="J290" s="83">
        <f t="shared" si="72"/>
        <v>0</v>
      </c>
      <c r="K290" s="358">
        <f t="shared" si="75"/>
        <v>0</v>
      </c>
      <c r="L290" s="54">
        <f>VLOOKUP(A290,'Precios oferta'!$A$30:$U$436,$B$5,FALSE)</f>
        <v>26887.251199999999</v>
      </c>
      <c r="M290" s="48">
        <f>VLOOKUP(A290,'Precios piso'!$A$30:$U$436,$B$5,FALSE)</f>
        <v>618.52480000000003</v>
      </c>
      <c r="N290" s="105">
        <f t="shared" si="69"/>
        <v>0.97699561046984229</v>
      </c>
      <c r="O290" s="131">
        <f t="shared" si="70"/>
        <v>544.30182400000001</v>
      </c>
      <c r="P290" s="388">
        <f t="shared" si="73"/>
        <v>0.97975613721346122</v>
      </c>
      <c r="Q290" s="131">
        <f t="shared" si="71"/>
        <v>494.81984</v>
      </c>
      <c r="R290" s="105">
        <f t="shared" si="74"/>
        <v>0.98159648837587388</v>
      </c>
      <c r="S290" s="131">
        <f t="shared" si="60"/>
        <v>463.89359999999999</v>
      </c>
      <c r="T290" s="94">
        <f t="shared" si="61"/>
        <v>0.98274670785238172</v>
      </c>
      <c r="V290" s="82"/>
      <c r="W290" s="504">
        <v>242</v>
      </c>
      <c r="X290" s="506" t="s">
        <v>895</v>
      </c>
      <c r="Y290" s="508">
        <v>0</v>
      </c>
      <c r="Z290" s="403">
        <v>0</v>
      </c>
      <c r="AA290" s="407">
        <f t="shared" si="62"/>
        <v>0.98774857954545459</v>
      </c>
      <c r="AB290" s="411"/>
      <c r="AC290" s="446"/>
    </row>
    <row r="291" spans="1:29">
      <c r="A291" s="67">
        <v>239</v>
      </c>
      <c r="B291" s="74" t="s">
        <v>246</v>
      </c>
      <c r="C291" s="125" t="s">
        <v>366</v>
      </c>
      <c r="D291" s="387">
        <f t="shared" si="64"/>
        <v>0</v>
      </c>
      <c r="E291" s="104">
        <f t="shared" si="65"/>
        <v>4</v>
      </c>
      <c r="F291" s="83">
        <f t="shared" si="66"/>
        <v>618.798</v>
      </c>
      <c r="G291" s="83">
        <f t="shared" si="67"/>
        <v>0</v>
      </c>
      <c r="H291" s="483">
        <f t="shared" si="68"/>
        <v>0</v>
      </c>
      <c r="I291" s="83">
        <f>+'Costo adq'!C279*$I$1</f>
        <v>1628.2719999999999</v>
      </c>
      <c r="J291" s="83">
        <f t="shared" si="72"/>
        <v>0</v>
      </c>
      <c r="L291" s="54">
        <f>VLOOKUP(A291,'Precios oferta'!$A$30:$U$436,$B$5,FALSE)</f>
        <v>4017.1327999999999</v>
      </c>
      <c r="M291" s="48">
        <f>VLOOKUP(A291,'Precios piso'!$A$30:$U$436,$B$5,FALSE)</f>
        <v>825.06399999999996</v>
      </c>
      <c r="N291" s="105">
        <f t="shared" si="69"/>
        <v>0.794613710554951</v>
      </c>
      <c r="O291" s="131">
        <f t="shared" si="70"/>
        <v>726.05631999999991</v>
      </c>
      <c r="P291" s="388">
        <f t="shared" si="73"/>
        <v>0.81926006528835693</v>
      </c>
      <c r="Q291" s="131">
        <f t="shared" si="71"/>
        <v>660.05119999999999</v>
      </c>
      <c r="R291" s="105">
        <f t="shared" si="74"/>
        <v>0.83569096844396085</v>
      </c>
      <c r="S291" s="131">
        <f t="shared" si="60"/>
        <v>618.798</v>
      </c>
      <c r="T291" s="94">
        <f t="shared" si="61"/>
        <v>0.84596028291621328</v>
      </c>
      <c r="V291" s="82"/>
      <c r="W291" s="504">
        <v>243</v>
      </c>
      <c r="X291" s="506" t="s">
        <v>896</v>
      </c>
      <c r="Y291" s="508">
        <v>0</v>
      </c>
      <c r="Z291" s="403">
        <v>0</v>
      </c>
      <c r="AA291" s="407">
        <f t="shared" si="62"/>
        <v>0.98928877463581832</v>
      </c>
      <c r="AB291" s="411"/>
      <c r="AC291" s="446"/>
    </row>
    <row r="292" spans="1:29">
      <c r="A292" s="67">
        <v>240</v>
      </c>
      <c r="B292" s="74" t="s">
        <v>246</v>
      </c>
      <c r="C292" s="125" t="s">
        <v>365</v>
      </c>
      <c r="D292" s="387">
        <f t="shared" si="64"/>
        <v>0</v>
      </c>
      <c r="E292" s="104">
        <f t="shared" ref="E292:E323" si="76">$B$6</f>
        <v>4</v>
      </c>
      <c r="F292" s="83">
        <f t="shared" si="66"/>
        <v>618.798</v>
      </c>
      <c r="G292" s="83">
        <f t="shared" si="67"/>
        <v>0</v>
      </c>
      <c r="H292" s="483">
        <f t="shared" si="68"/>
        <v>0</v>
      </c>
      <c r="I292" s="83">
        <f>+'Costo adq'!C280*$I$1</f>
        <v>19506.48</v>
      </c>
      <c r="J292" s="83">
        <f t="shared" si="72"/>
        <v>0</v>
      </c>
      <c r="K292" s="358">
        <f t="shared" si="75"/>
        <v>0</v>
      </c>
      <c r="L292" s="54">
        <f>VLOOKUP(A292,'Precios oferta'!$A$30:$U$436,$B$5,FALSE)</f>
        <v>26305.881600000001</v>
      </c>
      <c r="M292" s="48">
        <f>VLOOKUP(A292,'Precios piso'!$A$30:$U$436,$B$5,FALSE)</f>
        <v>825.06399999999996</v>
      </c>
      <c r="N292" s="105">
        <f t="shared" si="69"/>
        <v>0.96863575938850122</v>
      </c>
      <c r="O292" s="131">
        <f t="shared" ref="O292:O323" si="77">+M292-(M292*$N$481)</f>
        <v>726.05631999999991</v>
      </c>
      <c r="P292" s="388">
        <f t="shared" si="73"/>
        <v>0.97239946826188106</v>
      </c>
      <c r="Q292" s="131">
        <f t="shared" si="71"/>
        <v>660.05119999999999</v>
      </c>
      <c r="R292" s="105">
        <f t="shared" si="74"/>
        <v>0.97490860751080088</v>
      </c>
      <c r="S292" s="131">
        <f t="shared" si="60"/>
        <v>618.798</v>
      </c>
      <c r="T292" s="94">
        <f t="shared" si="61"/>
        <v>0.97647681954137588</v>
      </c>
      <c r="V292" s="82"/>
      <c r="W292" s="504">
        <v>244</v>
      </c>
      <c r="X292" s="506" t="s">
        <v>897</v>
      </c>
      <c r="Y292" s="508">
        <v>0</v>
      </c>
      <c r="Z292" s="403">
        <v>0</v>
      </c>
      <c r="AA292" s="407">
        <f t="shared" si="62"/>
        <v>0.8080788305925346</v>
      </c>
      <c r="AB292" s="411"/>
      <c r="AC292" s="446"/>
    </row>
    <row r="293" spans="1:29" ht="24">
      <c r="A293" s="67">
        <v>241</v>
      </c>
      <c r="B293" s="74" t="s">
        <v>247</v>
      </c>
      <c r="C293" s="125" t="s">
        <v>365</v>
      </c>
      <c r="D293" s="387">
        <f t="shared" si="64"/>
        <v>0</v>
      </c>
      <c r="E293" s="104">
        <f t="shared" si="76"/>
        <v>4</v>
      </c>
      <c r="F293" s="83">
        <f t="shared" si="66"/>
        <v>5665.8948</v>
      </c>
      <c r="G293" s="83">
        <f t="shared" si="67"/>
        <v>0</v>
      </c>
      <c r="H293" s="483">
        <f t="shared" si="68"/>
        <v>0</v>
      </c>
      <c r="I293" s="83">
        <f>+'Costo adq'!C281*$I$1</f>
        <v>18577.599999999999</v>
      </c>
      <c r="J293" s="83">
        <f t="shared" si="72"/>
        <v>0</v>
      </c>
      <c r="K293" s="358">
        <f t="shared" si="75"/>
        <v>0</v>
      </c>
      <c r="L293" s="54">
        <f>VLOOKUP(A293,'Precios oferta'!$A$30:$U$436,$B$5,FALSE)</f>
        <v>22177.283199999998</v>
      </c>
      <c r="M293" s="48">
        <f>VLOOKUP(A293,'Precios piso'!$A$30:$U$436,$B$5,FALSE)</f>
        <v>7554.5263999999997</v>
      </c>
      <c r="N293" s="105">
        <f t="shared" si="69"/>
        <v>0.65935744555040898</v>
      </c>
      <c r="O293" s="131">
        <f t="shared" si="77"/>
        <v>6647.9832319999996</v>
      </c>
      <c r="P293" s="388">
        <f t="shared" si="73"/>
        <v>0.70023455208435992</v>
      </c>
      <c r="Q293" s="131">
        <f t="shared" si="71"/>
        <v>6043.6211199999998</v>
      </c>
      <c r="R293" s="105">
        <f t="shared" si="74"/>
        <v>0.7274859564403271</v>
      </c>
      <c r="S293" s="131">
        <f t="shared" si="60"/>
        <v>5665.8948</v>
      </c>
      <c r="T293" s="94">
        <f t="shared" si="61"/>
        <v>0.74451808416280674</v>
      </c>
      <c r="V293" s="82"/>
      <c r="W293" s="504">
        <v>245</v>
      </c>
      <c r="X293" s="506" t="s">
        <v>898</v>
      </c>
      <c r="Y293" s="508">
        <v>0</v>
      </c>
      <c r="Z293" s="403">
        <v>0</v>
      </c>
      <c r="AA293" s="407">
        <f t="shared" si="62"/>
        <v>0.91211517097594008</v>
      </c>
      <c r="AB293" s="411"/>
      <c r="AC293" s="446"/>
    </row>
    <row r="294" spans="1:29">
      <c r="A294" s="67">
        <v>242</v>
      </c>
      <c r="B294" s="74" t="s">
        <v>248</v>
      </c>
      <c r="C294" s="125" t="s">
        <v>365</v>
      </c>
      <c r="D294" s="387">
        <f t="shared" si="64"/>
        <v>0</v>
      </c>
      <c r="E294" s="104">
        <f t="shared" si="76"/>
        <v>4</v>
      </c>
      <c r="F294" s="83">
        <f t="shared" si="66"/>
        <v>320.46360000000004</v>
      </c>
      <c r="G294" s="83">
        <f t="shared" si="67"/>
        <v>0</v>
      </c>
      <c r="H294" s="483">
        <f t="shared" si="68"/>
        <v>0</v>
      </c>
      <c r="I294" s="83">
        <f>+'Costo adq'!C282*$I$1</f>
        <v>13325.6032</v>
      </c>
      <c r="J294" s="83">
        <f t="shared" si="72"/>
        <v>0</v>
      </c>
      <c r="K294" s="358">
        <f t="shared" si="75"/>
        <v>0</v>
      </c>
      <c r="L294" s="54">
        <f>VLOOKUP(A294,'Precios oferta'!$A$30:$U$436,$B$5,FALSE)</f>
        <v>26157.2608</v>
      </c>
      <c r="M294" s="48">
        <f>VLOOKUP(A294,'Precios piso'!$A$30:$U$436,$B$5,FALSE)</f>
        <v>427.28480000000002</v>
      </c>
      <c r="N294" s="105">
        <f t="shared" si="69"/>
        <v>0.98366477272727271</v>
      </c>
      <c r="O294" s="131">
        <f t="shared" si="77"/>
        <v>376.01062400000001</v>
      </c>
      <c r="P294" s="388">
        <f t="shared" si="73"/>
        <v>0.98562499999999997</v>
      </c>
      <c r="Q294" s="131">
        <f t="shared" si="71"/>
        <v>341.82784000000004</v>
      </c>
      <c r="R294" s="105">
        <f t="shared" si="74"/>
        <v>0.98693181818181819</v>
      </c>
      <c r="S294" s="131">
        <f t="shared" si="60"/>
        <v>320.46360000000004</v>
      </c>
      <c r="T294" s="94">
        <f t="shared" si="61"/>
        <v>0.98774857954545459</v>
      </c>
      <c r="V294" s="82"/>
      <c r="W294" s="504">
        <v>246</v>
      </c>
      <c r="X294" s="506" t="s">
        <v>899</v>
      </c>
      <c r="Y294" s="508">
        <v>0</v>
      </c>
      <c r="Z294" s="403">
        <v>0</v>
      </c>
      <c r="AA294" s="407">
        <f t="shared" si="62"/>
        <v>0.91249669049510196</v>
      </c>
      <c r="AB294" s="411"/>
      <c r="AC294" s="446"/>
    </row>
    <row r="295" spans="1:29">
      <c r="A295" s="67">
        <v>243</v>
      </c>
      <c r="B295" s="74" t="s">
        <v>249</v>
      </c>
      <c r="C295" s="125" t="s">
        <v>365</v>
      </c>
      <c r="D295" s="387">
        <f t="shared" si="64"/>
        <v>0</v>
      </c>
      <c r="E295" s="104">
        <f t="shared" si="76"/>
        <v>4</v>
      </c>
      <c r="F295" s="83">
        <f t="shared" si="66"/>
        <v>81.960000000000008</v>
      </c>
      <c r="G295" s="83">
        <f t="shared" si="67"/>
        <v>0</v>
      </c>
      <c r="H295" s="483">
        <f t="shared" si="68"/>
        <v>0</v>
      </c>
      <c r="I295" s="83">
        <f>+'Costo adq'!C283*$I$1</f>
        <v>2860.9504000000002</v>
      </c>
      <c r="J295" s="83">
        <f t="shared" si="72"/>
        <v>0</v>
      </c>
      <c r="K295" s="358">
        <f t="shared" si="75"/>
        <v>0</v>
      </c>
      <c r="L295" s="54">
        <f>VLOOKUP(A295,'Precios oferta'!$A$30:$U$436,$B$5,FALSE)</f>
        <v>7651.7856000000002</v>
      </c>
      <c r="M295" s="48">
        <f>VLOOKUP(A295,'Precios piso'!$A$30:$U$436,$B$5,FALSE)</f>
        <v>109.28</v>
      </c>
      <c r="N295" s="105">
        <f t="shared" si="69"/>
        <v>0.9857183661810911</v>
      </c>
      <c r="O295" s="131">
        <f t="shared" si="77"/>
        <v>96.166399999999996</v>
      </c>
      <c r="P295" s="388">
        <f t="shared" si="73"/>
        <v>0.98743216223936014</v>
      </c>
      <c r="Q295" s="131">
        <f t="shared" si="71"/>
        <v>87.424000000000007</v>
      </c>
      <c r="R295" s="105">
        <f t="shared" si="74"/>
        <v>0.98857469294487288</v>
      </c>
      <c r="S295" s="131">
        <f t="shared" si="60"/>
        <v>81.960000000000008</v>
      </c>
      <c r="T295" s="94">
        <f t="shared" si="61"/>
        <v>0.98928877463581832</v>
      </c>
      <c r="V295" s="82"/>
      <c r="W295" s="504">
        <v>247</v>
      </c>
      <c r="X295" s="506" t="s">
        <v>900</v>
      </c>
      <c r="Y295" s="508">
        <v>0</v>
      </c>
      <c r="Z295" s="403">
        <v>0</v>
      </c>
      <c r="AA295" s="407">
        <f t="shared" si="62"/>
        <v>0.92887755856055565</v>
      </c>
      <c r="AB295" s="411"/>
      <c r="AC295" s="446"/>
    </row>
    <row r="296" spans="1:29">
      <c r="A296" s="67">
        <v>244</v>
      </c>
      <c r="B296" s="74" t="s">
        <v>250</v>
      </c>
      <c r="C296" s="125" t="s">
        <v>365</v>
      </c>
      <c r="D296" s="387">
        <f t="shared" si="64"/>
        <v>0</v>
      </c>
      <c r="E296" s="104">
        <f t="shared" si="76"/>
        <v>4</v>
      </c>
      <c r="F296" s="83">
        <f t="shared" si="66"/>
        <v>4820.8871999999992</v>
      </c>
      <c r="G296" s="83">
        <f t="shared" si="67"/>
        <v>0</v>
      </c>
      <c r="H296" s="483">
        <f t="shared" si="68"/>
        <v>0</v>
      </c>
      <c r="I296" s="83">
        <f>+'Costo adq'!C284*$I$1</f>
        <v>25358.423999999999</v>
      </c>
      <c r="J296" s="83">
        <f t="shared" si="72"/>
        <v>0</v>
      </c>
      <c r="K296" s="358">
        <f t="shared" si="75"/>
        <v>0</v>
      </c>
      <c r="L296" s="54">
        <f>VLOOKUP(A296,'Precios oferta'!$A$30:$U$436,$B$5,FALSE)</f>
        <v>25119.1008</v>
      </c>
      <c r="M296" s="48">
        <f>VLOOKUP(A296,'Precios piso'!$A$30:$U$436,$B$5,FALSE)</f>
        <v>6427.8495999999996</v>
      </c>
      <c r="N296" s="105">
        <f t="shared" si="69"/>
        <v>0.74410510745671288</v>
      </c>
      <c r="O296" s="131">
        <f t="shared" si="77"/>
        <v>5656.5076479999998</v>
      </c>
      <c r="P296" s="388">
        <f t="shared" si="73"/>
        <v>0.77481249456190726</v>
      </c>
      <c r="Q296" s="131">
        <f t="shared" si="71"/>
        <v>5142.2796799999996</v>
      </c>
      <c r="R296" s="105">
        <f t="shared" si="74"/>
        <v>0.79528408596537026</v>
      </c>
      <c r="S296" s="131">
        <f t="shared" si="60"/>
        <v>4820.8871999999992</v>
      </c>
      <c r="T296" s="94">
        <f t="shared" si="61"/>
        <v>0.8080788305925346</v>
      </c>
      <c r="V296" s="82"/>
      <c r="W296" s="504">
        <v>248</v>
      </c>
      <c r="X296" s="506" t="s">
        <v>901</v>
      </c>
      <c r="Y296" s="508">
        <v>0</v>
      </c>
      <c r="Z296" s="403">
        <v>0</v>
      </c>
      <c r="AA296" s="407">
        <f t="shared" si="62"/>
        <v>0.82409925220938141</v>
      </c>
      <c r="AB296" s="411"/>
      <c r="AC296" s="446"/>
    </row>
    <row r="297" spans="1:29">
      <c r="A297" s="67">
        <v>245</v>
      </c>
      <c r="B297" s="74" t="s">
        <v>251</v>
      </c>
      <c r="C297" s="125" t="s">
        <v>365</v>
      </c>
      <c r="D297" s="387">
        <f t="shared" si="64"/>
        <v>0</v>
      </c>
      <c r="E297" s="104">
        <f t="shared" si="76"/>
        <v>4</v>
      </c>
      <c r="F297" s="83">
        <f t="shared" si="66"/>
        <v>6310.92</v>
      </c>
      <c r="G297" s="83">
        <f t="shared" si="67"/>
        <v>0</v>
      </c>
      <c r="H297" s="483">
        <f t="shared" si="68"/>
        <v>0</v>
      </c>
      <c r="I297" s="83">
        <f>+'Costo adq'!C285*$I$1</f>
        <v>17156.96</v>
      </c>
      <c r="J297" s="83">
        <f t="shared" si="72"/>
        <v>0</v>
      </c>
      <c r="K297" s="358">
        <f t="shared" si="75"/>
        <v>0</v>
      </c>
      <c r="L297" s="54">
        <f>VLOOKUP(A297,'Precios oferta'!$A$30:$U$436,$B$5,FALSE)</f>
        <v>71808.980800000005</v>
      </c>
      <c r="M297" s="48">
        <f>VLOOKUP(A297,'Precios piso'!$A$30:$U$436,$B$5,FALSE)</f>
        <v>8414.56</v>
      </c>
      <c r="N297" s="105">
        <f t="shared" si="69"/>
        <v>0.88282022796792015</v>
      </c>
      <c r="O297" s="131">
        <f t="shared" si="77"/>
        <v>7404.8127999999997</v>
      </c>
      <c r="P297" s="388">
        <f t="shared" si="73"/>
        <v>0.8968818006117697</v>
      </c>
      <c r="Q297" s="131">
        <f t="shared" si="71"/>
        <v>6731.6479999999992</v>
      </c>
      <c r="R297" s="105">
        <f t="shared" si="74"/>
        <v>0.90625618237433614</v>
      </c>
      <c r="S297" s="131">
        <f t="shared" si="60"/>
        <v>6310.92</v>
      </c>
      <c r="T297" s="94">
        <f t="shared" si="61"/>
        <v>0.91211517097594008</v>
      </c>
      <c r="V297" s="82"/>
      <c r="W297" s="504">
        <v>249</v>
      </c>
      <c r="X297" s="506" t="s">
        <v>902</v>
      </c>
      <c r="Y297" s="508">
        <v>8.5</v>
      </c>
      <c r="Z297" s="403">
        <v>0</v>
      </c>
      <c r="AA297" s="407">
        <f t="shared" si="62"/>
        <v>0.73066298342541436</v>
      </c>
      <c r="AB297" s="411"/>
      <c r="AC297" s="446"/>
    </row>
    <row r="298" spans="1:29">
      <c r="A298" s="67">
        <v>246</v>
      </c>
      <c r="B298" s="74" t="s">
        <v>252</v>
      </c>
      <c r="C298" s="125" t="s">
        <v>365</v>
      </c>
      <c r="D298" s="387">
        <f t="shared" si="64"/>
        <v>0</v>
      </c>
      <c r="E298" s="104">
        <f t="shared" si="76"/>
        <v>4</v>
      </c>
      <c r="F298" s="83">
        <f t="shared" si="66"/>
        <v>3250.5335999999998</v>
      </c>
      <c r="G298" s="83">
        <f t="shared" si="67"/>
        <v>0</v>
      </c>
      <c r="H298" s="483">
        <f t="shared" si="68"/>
        <v>0</v>
      </c>
      <c r="I298" s="83">
        <f>+'Costo adq'!C286*$I$1</f>
        <v>27959.288</v>
      </c>
      <c r="J298" s="83">
        <f t="shared" si="72"/>
        <v>0</v>
      </c>
      <c r="K298" s="358">
        <f t="shared" si="75"/>
        <v>0</v>
      </c>
      <c r="L298" s="54">
        <f>VLOOKUP(A298,'Precios oferta'!$A$30:$U$436,$B$5,FALSE)</f>
        <v>37147.5504</v>
      </c>
      <c r="M298" s="48">
        <f>VLOOKUP(A298,'Precios piso'!$A$30:$U$436,$B$5,FALSE)</f>
        <v>4334.0447999999997</v>
      </c>
      <c r="N298" s="105">
        <f t="shared" si="69"/>
        <v>0.88332892066013591</v>
      </c>
      <c r="O298" s="131">
        <f t="shared" si="77"/>
        <v>3813.9594239999997</v>
      </c>
      <c r="P298" s="388">
        <f t="shared" si="73"/>
        <v>0.89732945018091959</v>
      </c>
      <c r="Q298" s="131">
        <f t="shared" si="71"/>
        <v>3467.2358399999998</v>
      </c>
      <c r="R298" s="105">
        <f t="shared" si="74"/>
        <v>0.9066631365281087</v>
      </c>
      <c r="S298" s="131">
        <f t="shared" si="60"/>
        <v>3250.5335999999998</v>
      </c>
      <c r="T298" s="94">
        <f t="shared" si="61"/>
        <v>0.91249669049510196</v>
      </c>
      <c r="V298" s="82"/>
      <c r="W298" s="504">
        <v>250</v>
      </c>
      <c r="X298" s="506" t="s">
        <v>903</v>
      </c>
      <c r="Y298" s="508">
        <v>0</v>
      </c>
      <c r="Z298" s="403">
        <v>0</v>
      </c>
      <c r="AA298" s="407">
        <f t="shared" si="62"/>
        <v>0.97207446808510634</v>
      </c>
      <c r="AB298" s="411"/>
      <c r="AC298" s="446"/>
    </row>
    <row r="299" spans="1:29">
      <c r="A299" s="67">
        <v>247</v>
      </c>
      <c r="B299" s="74" t="s">
        <v>253</v>
      </c>
      <c r="C299" s="125" t="s">
        <v>365</v>
      </c>
      <c r="D299" s="387">
        <f t="shared" si="64"/>
        <v>0</v>
      </c>
      <c r="E299" s="104">
        <f t="shared" si="76"/>
        <v>4</v>
      </c>
      <c r="F299" s="83">
        <f t="shared" si="66"/>
        <v>6310.92</v>
      </c>
      <c r="G299" s="83">
        <f t="shared" si="67"/>
        <v>0</v>
      </c>
      <c r="H299" s="483">
        <f t="shared" si="68"/>
        <v>0</v>
      </c>
      <c r="I299" s="83">
        <f>+'Costo adq'!C287*$I$1</f>
        <v>29259.72</v>
      </c>
      <c r="J299" s="83">
        <f t="shared" si="72"/>
        <v>0</v>
      </c>
      <c r="K299" s="358">
        <f t="shared" si="75"/>
        <v>0</v>
      </c>
      <c r="L299" s="54">
        <f>VLOOKUP(A299,'Precios oferta'!$A$30:$U$436,$B$5,FALSE)</f>
        <v>88733.174400000004</v>
      </c>
      <c r="M299" s="48">
        <f>VLOOKUP(A299,'Precios piso'!$A$30:$U$436,$B$5,FALSE)</f>
        <v>8414.56</v>
      </c>
      <c r="N299" s="105">
        <f t="shared" si="69"/>
        <v>0.9051700780807409</v>
      </c>
      <c r="O299" s="131">
        <f t="shared" si="77"/>
        <v>7404.8127999999997</v>
      </c>
      <c r="P299" s="388">
        <f t="shared" si="73"/>
        <v>0.91654966871105203</v>
      </c>
      <c r="Q299" s="131">
        <f t="shared" si="71"/>
        <v>6731.6479999999992</v>
      </c>
      <c r="R299" s="105">
        <f t="shared" si="74"/>
        <v>0.92413606246459268</v>
      </c>
      <c r="S299" s="131">
        <f t="shared" si="60"/>
        <v>6310.92</v>
      </c>
      <c r="T299" s="94">
        <f t="shared" si="61"/>
        <v>0.92887755856055565</v>
      </c>
      <c r="V299" s="82"/>
      <c r="W299" s="504">
        <v>251</v>
      </c>
      <c r="X299" s="506" t="s">
        <v>904</v>
      </c>
      <c r="Y299" s="508">
        <v>0</v>
      </c>
      <c r="Z299" s="403">
        <v>0</v>
      </c>
      <c r="AA299" s="407">
        <f t="shared" si="62"/>
        <v>0.97508054772452679</v>
      </c>
      <c r="AB299" s="411"/>
      <c r="AC299" s="446"/>
    </row>
    <row r="300" spans="1:29">
      <c r="A300" s="67">
        <v>248</v>
      </c>
      <c r="B300" s="74" t="s">
        <v>254</v>
      </c>
      <c r="C300" s="125" t="s">
        <v>366</v>
      </c>
      <c r="D300" s="387">
        <f t="shared" si="64"/>
        <v>0</v>
      </c>
      <c r="E300" s="104">
        <f t="shared" si="76"/>
        <v>4</v>
      </c>
      <c r="F300" s="83">
        <f t="shared" si="66"/>
        <v>282.762</v>
      </c>
      <c r="G300" s="83">
        <f t="shared" si="67"/>
        <v>0</v>
      </c>
      <c r="H300" s="483">
        <f t="shared" si="68"/>
        <v>0</v>
      </c>
      <c r="I300" s="83">
        <f>+'Costo adq'!C288*$I$1</f>
        <v>453.512</v>
      </c>
      <c r="J300" s="83">
        <f t="shared" si="72"/>
        <v>0</v>
      </c>
      <c r="L300" s="54">
        <f>VLOOKUP(A300,'Precios oferta'!$A$30:$U$436,$B$5,FALSE)</f>
        <v>1607.5088000000001</v>
      </c>
      <c r="M300" s="48">
        <f>VLOOKUP(A300,'Precios piso'!$A$30:$U$436,$B$5,FALSE)</f>
        <v>377.01600000000002</v>
      </c>
      <c r="N300" s="105">
        <f t="shared" si="69"/>
        <v>0.7654656696125085</v>
      </c>
      <c r="O300" s="131">
        <f t="shared" si="77"/>
        <v>331.77408000000003</v>
      </c>
      <c r="P300" s="388">
        <f t="shared" si="73"/>
        <v>0.79360978925900749</v>
      </c>
      <c r="Q300" s="131">
        <f t="shared" si="71"/>
        <v>301.61279999999999</v>
      </c>
      <c r="R300" s="105">
        <f t="shared" si="74"/>
        <v>0.81237253569000678</v>
      </c>
      <c r="S300" s="131">
        <f t="shared" si="60"/>
        <v>282.762</v>
      </c>
      <c r="T300" s="94">
        <f t="shared" si="61"/>
        <v>0.82409925220938141</v>
      </c>
      <c r="V300" s="82"/>
      <c r="W300" s="504">
        <v>252</v>
      </c>
      <c r="X300" s="506" t="s">
        <v>881</v>
      </c>
      <c r="Y300" s="508">
        <v>0</v>
      </c>
      <c r="Z300" s="403">
        <v>0</v>
      </c>
      <c r="AA300" s="407">
        <f t="shared" si="62"/>
        <v>0.76105331599479842</v>
      </c>
      <c r="AB300" s="411"/>
      <c r="AC300" s="446"/>
    </row>
    <row r="301" spans="1:29">
      <c r="A301" s="67">
        <v>249</v>
      </c>
      <c r="B301" s="74" t="s">
        <v>254</v>
      </c>
      <c r="C301" s="125" t="s">
        <v>365</v>
      </c>
      <c r="D301" s="387">
        <f t="shared" si="64"/>
        <v>8.5</v>
      </c>
      <c r="E301" s="104">
        <f t="shared" si="76"/>
        <v>4</v>
      </c>
      <c r="F301" s="83">
        <f t="shared" si="66"/>
        <v>2716.9740000000002</v>
      </c>
      <c r="G301" s="83">
        <f t="shared" si="67"/>
        <v>92377.116000000009</v>
      </c>
      <c r="H301" s="483">
        <f t="shared" si="68"/>
        <v>0</v>
      </c>
      <c r="I301" s="83">
        <f>+'Costo adq'!C289*$I$1</f>
        <v>5420.2879999999996</v>
      </c>
      <c r="J301" s="83">
        <f t="shared" si="72"/>
        <v>184289.79199999999</v>
      </c>
      <c r="K301" s="358">
        <f t="shared" si="75"/>
        <v>138217.34399999998</v>
      </c>
      <c r="L301" s="54">
        <f>VLOOKUP(A301,'Precios oferta'!$A$30:$U$436,$B$5,FALSE)</f>
        <v>10087.6368</v>
      </c>
      <c r="M301" s="48">
        <f>VLOOKUP(A301,'Precios piso'!$A$30:$U$436,$B$5,FALSE)</f>
        <v>3622.6320000000001</v>
      </c>
      <c r="N301" s="105">
        <f t="shared" si="69"/>
        <v>0.64088397790055252</v>
      </c>
      <c r="O301" s="131">
        <f t="shared" si="77"/>
        <v>3187.9161600000002</v>
      </c>
      <c r="P301" s="388">
        <f t="shared" si="73"/>
        <v>0.6839779005524862</v>
      </c>
      <c r="Q301" s="131">
        <f t="shared" si="71"/>
        <v>2898.1055999999999</v>
      </c>
      <c r="R301" s="105">
        <f t="shared" si="74"/>
        <v>0.71270718232044206</v>
      </c>
      <c r="S301" s="131">
        <f t="shared" si="60"/>
        <v>2716.9740000000002</v>
      </c>
      <c r="T301" s="94">
        <f t="shared" si="61"/>
        <v>0.73066298342541436</v>
      </c>
      <c r="V301" s="82"/>
      <c r="W301" s="504">
        <v>253</v>
      </c>
      <c r="X301" s="506" t="s">
        <v>882</v>
      </c>
      <c r="Y301" s="508">
        <v>0</v>
      </c>
      <c r="Z301" s="403">
        <v>0</v>
      </c>
      <c r="AA301" s="407">
        <f t="shared" si="62"/>
        <v>0.94968924132018862</v>
      </c>
      <c r="AB301" s="411"/>
      <c r="AC301" s="446"/>
    </row>
    <row r="302" spans="1:29">
      <c r="A302" s="67">
        <v>250</v>
      </c>
      <c r="B302" s="74" t="s">
        <v>255</v>
      </c>
      <c r="C302" s="125" t="s">
        <v>365</v>
      </c>
      <c r="D302" s="387">
        <f t="shared" si="64"/>
        <v>0</v>
      </c>
      <c r="E302" s="104">
        <f t="shared" si="76"/>
        <v>4</v>
      </c>
      <c r="F302" s="83">
        <f t="shared" si="66"/>
        <v>120.4812</v>
      </c>
      <c r="G302" s="83">
        <f t="shared" si="67"/>
        <v>0</v>
      </c>
      <c r="H302" s="483">
        <f t="shared" si="68"/>
        <v>0</v>
      </c>
      <c r="I302" s="83">
        <f>+'Costo adq'!C290*$I$1</f>
        <v>23058.079999999998</v>
      </c>
      <c r="J302" s="83">
        <f t="shared" si="72"/>
        <v>0</v>
      </c>
      <c r="K302" s="358">
        <f t="shared" si="75"/>
        <v>0</v>
      </c>
      <c r="L302" s="54">
        <f>VLOOKUP(A302,'Precios oferta'!$A$30:$U$436,$B$5,FALSE)</f>
        <v>4314.3743999999997</v>
      </c>
      <c r="M302" s="48">
        <f>VLOOKUP(A302,'Precios piso'!$A$30:$U$436,$B$5,FALSE)</f>
        <v>160.64160000000001</v>
      </c>
      <c r="N302" s="105">
        <f t="shared" si="69"/>
        <v>0.96276595744680848</v>
      </c>
      <c r="O302" s="131">
        <f t="shared" si="77"/>
        <v>141.364608</v>
      </c>
      <c r="P302" s="388">
        <f t="shared" si="73"/>
        <v>0.96723404255319145</v>
      </c>
      <c r="Q302" s="131">
        <f t="shared" si="71"/>
        <v>128.51328000000001</v>
      </c>
      <c r="R302" s="105">
        <f t="shared" si="74"/>
        <v>0.97021276595744677</v>
      </c>
      <c r="S302" s="131">
        <f t="shared" si="60"/>
        <v>120.4812</v>
      </c>
      <c r="T302" s="94">
        <f t="shared" si="61"/>
        <v>0.97207446808510634</v>
      </c>
      <c r="V302" s="82"/>
      <c r="W302" s="504">
        <v>254</v>
      </c>
      <c r="X302" s="506" t="s">
        <v>905</v>
      </c>
      <c r="Y302" s="508">
        <v>0</v>
      </c>
      <c r="Z302" s="403">
        <v>0</v>
      </c>
      <c r="AA302" s="407">
        <f t="shared" si="62"/>
        <v>0.89091732045866023</v>
      </c>
      <c r="AB302" s="411"/>
      <c r="AC302" s="446"/>
    </row>
    <row r="303" spans="1:29">
      <c r="A303" s="67">
        <v>251</v>
      </c>
      <c r="B303" s="74" t="s">
        <v>256</v>
      </c>
      <c r="C303" s="125" t="s">
        <v>365</v>
      </c>
      <c r="D303" s="387">
        <f t="shared" si="64"/>
        <v>0</v>
      </c>
      <c r="E303" s="104">
        <f t="shared" si="76"/>
        <v>4</v>
      </c>
      <c r="F303" s="83">
        <f t="shared" si="66"/>
        <v>135.23400000000001</v>
      </c>
      <c r="G303" s="83">
        <f t="shared" si="67"/>
        <v>0</v>
      </c>
      <c r="H303" s="483">
        <f t="shared" si="68"/>
        <v>0</v>
      </c>
      <c r="I303" s="83">
        <f>+'Costo adq'!C291*$I$1</f>
        <v>3387.68</v>
      </c>
      <c r="J303" s="83">
        <f t="shared" si="72"/>
        <v>0</v>
      </c>
      <c r="K303" s="358">
        <f t="shared" si="75"/>
        <v>0</v>
      </c>
      <c r="L303" s="54">
        <f>VLOOKUP(A303,'Precios oferta'!$A$30:$U$436,$B$5,FALSE)</f>
        <v>5426.8447999999999</v>
      </c>
      <c r="M303" s="48">
        <f>VLOOKUP(A303,'Precios piso'!$A$30:$U$436,$B$5,FALSE)</f>
        <v>180.31200000000001</v>
      </c>
      <c r="N303" s="105">
        <f t="shared" si="69"/>
        <v>0.96677406363270235</v>
      </c>
      <c r="O303" s="131">
        <f t="shared" si="77"/>
        <v>158.67456000000001</v>
      </c>
      <c r="P303" s="388">
        <f t="shared" si="73"/>
        <v>0.97076117599677814</v>
      </c>
      <c r="Q303" s="131">
        <f t="shared" si="71"/>
        <v>144.24960000000002</v>
      </c>
      <c r="R303" s="105">
        <f t="shared" si="74"/>
        <v>0.97341925090616188</v>
      </c>
      <c r="S303" s="131">
        <f t="shared" si="60"/>
        <v>135.23400000000001</v>
      </c>
      <c r="T303" s="94">
        <f t="shared" si="61"/>
        <v>0.97508054772452679</v>
      </c>
      <c r="V303" s="82"/>
      <c r="W303" s="504">
        <v>255</v>
      </c>
      <c r="X303" s="506" t="s">
        <v>906</v>
      </c>
      <c r="Y303" s="508">
        <v>0</v>
      </c>
      <c r="Z303" s="403">
        <v>0</v>
      </c>
      <c r="AA303" s="407">
        <f t="shared" si="62"/>
        <v>0.98146343964721572</v>
      </c>
      <c r="AB303" s="411"/>
      <c r="AC303" s="446"/>
    </row>
    <row r="304" spans="1:29">
      <c r="A304" s="67">
        <v>252</v>
      </c>
      <c r="B304" s="74" t="s">
        <v>239</v>
      </c>
      <c r="C304" s="125" t="s">
        <v>366</v>
      </c>
      <c r="D304" s="387">
        <f t="shared" si="64"/>
        <v>0</v>
      </c>
      <c r="E304" s="104">
        <f t="shared" si="76"/>
        <v>4</v>
      </c>
      <c r="F304" s="83">
        <f t="shared" si="66"/>
        <v>401.60399999999998</v>
      </c>
      <c r="G304" s="83">
        <f t="shared" si="67"/>
        <v>0</v>
      </c>
      <c r="H304" s="483">
        <f t="shared" si="68"/>
        <v>0</v>
      </c>
      <c r="I304" s="83">
        <f>+'Costo adq'!C292*$I$1</f>
        <v>797.74400000000003</v>
      </c>
      <c r="J304" s="83">
        <f t="shared" si="72"/>
        <v>0</v>
      </c>
      <c r="L304" s="54">
        <f>VLOOKUP(A304,'Precios oferta'!$A$30:$U$436,$B$5,FALSE)</f>
        <v>1680.7264</v>
      </c>
      <c r="M304" s="48">
        <f>VLOOKUP(A304,'Precios piso'!$A$30:$U$436,$B$5,FALSE)</f>
        <v>535.47199999999998</v>
      </c>
      <c r="N304" s="105">
        <f t="shared" si="69"/>
        <v>0.68140442132639789</v>
      </c>
      <c r="O304" s="131">
        <f t="shared" si="77"/>
        <v>471.21535999999998</v>
      </c>
      <c r="P304" s="388">
        <f t="shared" si="73"/>
        <v>0.71963589076723022</v>
      </c>
      <c r="Q304" s="131">
        <f t="shared" si="71"/>
        <v>428.37759999999997</v>
      </c>
      <c r="R304" s="105">
        <f t="shared" si="74"/>
        <v>0.74512353706111834</v>
      </c>
      <c r="S304" s="131">
        <f t="shared" si="60"/>
        <v>401.60399999999998</v>
      </c>
      <c r="T304" s="94">
        <f t="shared" si="61"/>
        <v>0.76105331599479842</v>
      </c>
      <c r="V304" s="82"/>
      <c r="W304" s="504">
        <v>256</v>
      </c>
      <c r="X304" s="506" t="s">
        <v>907</v>
      </c>
      <c r="Y304" s="508">
        <v>0</v>
      </c>
      <c r="Z304" s="403">
        <v>0</v>
      </c>
      <c r="AA304" s="407">
        <f t="shared" si="62"/>
        <v>0.90688861016802547</v>
      </c>
      <c r="AB304" s="411"/>
      <c r="AC304" s="446"/>
    </row>
    <row r="305" spans="1:29">
      <c r="A305" s="67">
        <v>253</v>
      </c>
      <c r="B305" s="74" t="s">
        <v>239</v>
      </c>
      <c r="C305" s="125" t="s">
        <v>365</v>
      </c>
      <c r="D305" s="387">
        <f t="shared" si="64"/>
        <v>0</v>
      </c>
      <c r="E305" s="104">
        <f t="shared" si="76"/>
        <v>4</v>
      </c>
      <c r="F305" s="83">
        <f t="shared" si="66"/>
        <v>513.06960000000004</v>
      </c>
      <c r="G305" s="83">
        <f t="shared" si="67"/>
        <v>0</v>
      </c>
      <c r="H305" s="483">
        <f t="shared" si="68"/>
        <v>0</v>
      </c>
      <c r="I305" s="83">
        <f>+'Costo adq'!C293*$I$1</f>
        <v>9594.7839999999997</v>
      </c>
      <c r="J305" s="83">
        <f t="shared" si="72"/>
        <v>0</v>
      </c>
      <c r="K305" s="358">
        <f t="shared" si="75"/>
        <v>0</v>
      </c>
      <c r="L305" s="54">
        <f>VLOOKUP(A305,'Precios oferta'!$A$30:$U$436,$B$5,FALSE)</f>
        <v>10198.009599999999</v>
      </c>
      <c r="M305" s="48">
        <f>VLOOKUP(A305,'Precios piso'!$A$30:$U$436,$B$5,FALSE)</f>
        <v>684.09280000000001</v>
      </c>
      <c r="N305" s="105">
        <f t="shared" si="69"/>
        <v>0.93291898842691812</v>
      </c>
      <c r="O305" s="131">
        <f t="shared" si="77"/>
        <v>602.00166400000001</v>
      </c>
      <c r="P305" s="388">
        <f t="shared" si="73"/>
        <v>0.94096870981568792</v>
      </c>
      <c r="Q305" s="131">
        <f t="shared" si="71"/>
        <v>547.27423999999996</v>
      </c>
      <c r="R305" s="105">
        <f t="shared" si="74"/>
        <v>0.94633519074153449</v>
      </c>
      <c r="S305" s="131">
        <f t="shared" si="60"/>
        <v>513.06960000000004</v>
      </c>
      <c r="T305" s="94">
        <f t="shared" si="61"/>
        <v>0.94968924132018862</v>
      </c>
      <c r="V305" s="82"/>
      <c r="W305" s="504">
        <v>257</v>
      </c>
      <c r="X305" s="506" t="s">
        <v>908</v>
      </c>
      <c r="Y305" s="508">
        <v>0</v>
      </c>
      <c r="Z305" s="403">
        <v>0</v>
      </c>
      <c r="AA305" s="407">
        <f t="shared" si="62"/>
        <v>0.98442890619914514</v>
      </c>
      <c r="AB305" s="411"/>
      <c r="AC305" s="446"/>
    </row>
    <row r="306" spans="1:29">
      <c r="A306" s="67">
        <v>254</v>
      </c>
      <c r="B306" s="74" t="s">
        <v>257</v>
      </c>
      <c r="C306" s="125" t="s">
        <v>366</v>
      </c>
      <c r="D306" s="387">
        <f t="shared" si="64"/>
        <v>0</v>
      </c>
      <c r="E306" s="104">
        <f t="shared" si="76"/>
        <v>4</v>
      </c>
      <c r="F306" s="83">
        <f t="shared" si="66"/>
        <v>395.04719999999998</v>
      </c>
      <c r="G306" s="83">
        <f t="shared" si="67"/>
        <v>0</v>
      </c>
      <c r="H306" s="483">
        <f t="shared" si="68"/>
        <v>0</v>
      </c>
      <c r="I306" s="83">
        <f>+'Costo adq'!C294*$I$1</f>
        <v>2382.3040000000001</v>
      </c>
      <c r="J306" s="83">
        <f t="shared" si="72"/>
        <v>0</v>
      </c>
      <c r="L306" s="54">
        <f>VLOOKUP(A306,'Precios oferta'!$A$30:$U$436,$B$5,FALSE)</f>
        <v>3621.5392000000002</v>
      </c>
      <c r="M306" s="48">
        <f>VLOOKUP(A306,'Precios piso'!$A$30:$U$436,$B$5,FALSE)</f>
        <v>526.7296</v>
      </c>
      <c r="N306" s="105">
        <f t="shared" si="69"/>
        <v>0.85455642727821368</v>
      </c>
      <c r="O306" s="131">
        <f t="shared" si="77"/>
        <v>463.52204799999998</v>
      </c>
      <c r="P306" s="388">
        <f t="shared" si="73"/>
        <v>0.87200965600482805</v>
      </c>
      <c r="Q306" s="131">
        <f t="shared" si="71"/>
        <v>421.38368000000003</v>
      </c>
      <c r="R306" s="105">
        <f t="shared" si="74"/>
        <v>0.88364514182257092</v>
      </c>
      <c r="S306" s="131">
        <f t="shared" ref="S306:S369" si="78">+M306-(M306*25%)</f>
        <v>395.04719999999998</v>
      </c>
      <c r="T306" s="94">
        <f t="shared" ref="T306:T369" si="79">1-(S306/L306)</f>
        <v>0.89091732045866023</v>
      </c>
      <c r="V306" s="82"/>
      <c r="W306" s="504">
        <v>258</v>
      </c>
      <c r="X306" s="506" t="s">
        <v>886</v>
      </c>
      <c r="Y306" s="508">
        <v>0</v>
      </c>
      <c r="Z306" s="403">
        <v>0</v>
      </c>
      <c r="AA306" s="407">
        <f t="shared" ref="AA306:AA369" si="80">VLOOKUP(W306,$A$49:$T$459,$AB$48,FALSE)</f>
        <v>0.95307376443827363</v>
      </c>
      <c r="AB306" s="411"/>
      <c r="AC306" s="446"/>
    </row>
    <row r="307" spans="1:29">
      <c r="A307" s="67">
        <v>255</v>
      </c>
      <c r="B307" s="74" t="s">
        <v>257</v>
      </c>
      <c r="C307" s="125" t="s">
        <v>365</v>
      </c>
      <c r="D307" s="387">
        <f t="shared" si="64"/>
        <v>0</v>
      </c>
      <c r="E307" s="104">
        <f t="shared" si="76"/>
        <v>4</v>
      </c>
      <c r="F307" s="83">
        <f t="shared" si="66"/>
        <v>395.04719999999998</v>
      </c>
      <c r="G307" s="83">
        <f t="shared" si="67"/>
        <v>0</v>
      </c>
      <c r="H307" s="483">
        <f t="shared" si="68"/>
        <v>0</v>
      </c>
      <c r="I307" s="481">
        <f>+'Costo adq'!C295*$I$1</f>
        <v>28609.504000000001</v>
      </c>
      <c r="J307" s="83">
        <f t="shared" si="72"/>
        <v>0</v>
      </c>
      <c r="K307" s="358">
        <f t="shared" si="75"/>
        <v>0</v>
      </c>
      <c r="L307" s="54">
        <f>VLOOKUP(A307,'Precios oferta'!$A$30:$U$436,$B$5,FALSE)</f>
        <v>21311.785599999999</v>
      </c>
      <c r="M307" s="48">
        <f>VLOOKUP(A307,'Precios piso'!$A$30:$U$436,$B$5,FALSE)</f>
        <v>526.7296</v>
      </c>
      <c r="N307" s="105">
        <f t="shared" si="69"/>
        <v>0.97528458619628755</v>
      </c>
      <c r="O307" s="131">
        <f t="shared" si="77"/>
        <v>463.52204799999998</v>
      </c>
      <c r="P307" s="388">
        <f t="shared" si="73"/>
        <v>0.97825043585273308</v>
      </c>
      <c r="Q307" s="131">
        <f t="shared" si="71"/>
        <v>421.38368000000003</v>
      </c>
      <c r="R307" s="105">
        <f t="shared" si="74"/>
        <v>0.98022766895703006</v>
      </c>
      <c r="S307" s="131">
        <f t="shared" si="78"/>
        <v>395.04719999999998</v>
      </c>
      <c r="T307" s="94">
        <f t="shared" si="79"/>
        <v>0.98146343964721572</v>
      </c>
      <c r="V307" s="82"/>
      <c r="W307" s="504">
        <v>259</v>
      </c>
      <c r="X307" s="506" t="s">
        <v>887</v>
      </c>
      <c r="Y307" s="508">
        <v>0</v>
      </c>
      <c r="Z307" s="403">
        <v>0</v>
      </c>
      <c r="AA307" s="407">
        <f t="shared" si="80"/>
        <v>0.97831329166377046</v>
      </c>
      <c r="AB307" s="411"/>
      <c r="AC307" s="446"/>
    </row>
    <row r="308" spans="1:29">
      <c r="A308" s="67">
        <v>256</v>
      </c>
      <c r="B308" s="74" t="s">
        <v>258</v>
      </c>
      <c r="C308" s="125" t="s">
        <v>366</v>
      </c>
      <c r="D308" s="387">
        <f t="shared" si="64"/>
        <v>0</v>
      </c>
      <c r="E308" s="104">
        <f t="shared" si="76"/>
        <v>4</v>
      </c>
      <c r="F308" s="83">
        <f t="shared" si="66"/>
        <v>4705.3235999999997</v>
      </c>
      <c r="G308" s="83">
        <f t="shared" si="67"/>
        <v>0</v>
      </c>
      <c r="H308" s="483">
        <f t="shared" si="68"/>
        <v>0</v>
      </c>
      <c r="I308" s="83">
        <f>+'Costo adq'!C296*$I$1</f>
        <v>16255.4</v>
      </c>
      <c r="J308" s="83">
        <f t="shared" si="72"/>
        <v>0</v>
      </c>
      <c r="L308" s="54">
        <f>VLOOKUP(A308,'Precios oferta'!$A$30:$U$436,$B$5,FALSE)</f>
        <v>50534.350399999996</v>
      </c>
      <c r="M308" s="48">
        <f>VLOOKUP(A308,'Precios piso'!$A$30:$U$436,$B$5,FALSE)</f>
        <v>6273.7647999999999</v>
      </c>
      <c r="N308" s="105">
        <f t="shared" si="69"/>
        <v>0.87585148022403392</v>
      </c>
      <c r="O308" s="131">
        <f t="shared" si="77"/>
        <v>5520.9130239999995</v>
      </c>
      <c r="P308" s="388">
        <f t="shared" si="73"/>
        <v>0.89074930259714979</v>
      </c>
      <c r="Q308" s="131">
        <f t="shared" si="71"/>
        <v>5019.0118400000001</v>
      </c>
      <c r="R308" s="105">
        <f t="shared" si="74"/>
        <v>0.90068118417922716</v>
      </c>
      <c r="S308" s="131">
        <f t="shared" si="78"/>
        <v>4705.3235999999997</v>
      </c>
      <c r="T308" s="94">
        <f t="shared" si="79"/>
        <v>0.90688861016802547</v>
      </c>
      <c r="V308" s="82"/>
      <c r="W308" s="504">
        <v>260</v>
      </c>
      <c r="X308" s="506" t="s">
        <v>888</v>
      </c>
      <c r="Y308" s="508">
        <v>0</v>
      </c>
      <c r="Z308" s="403">
        <v>0</v>
      </c>
      <c r="AA308" s="407">
        <f t="shared" si="80"/>
        <v>0.91166500766726744</v>
      </c>
      <c r="AB308" s="411"/>
      <c r="AC308" s="446"/>
    </row>
    <row r="309" spans="1:29">
      <c r="A309" s="67">
        <v>257</v>
      </c>
      <c r="B309" s="74" t="s">
        <v>258</v>
      </c>
      <c r="C309" s="125" t="s">
        <v>365</v>
      </c>
      <c r="D309" s="387">
        <f t="shared" si="64"/>
        <v>0</v>
      </c>
      <c r="E309" s="104">
        <f t="shared" si="76"/>
        <v>4</v>
      </c>
      <c r="F309" s="83">
        <f t="shared" si="66"/>
        <v>4705.3235999999997</v>
      </c>
      <c r="G309" s="83">
        <f t="shared" si="67"/>
        <v>0</v>
      </c>
      <c r="H309" s="483">
        <f t="shared" si="68"/>
        <v>0</v>
      </c>
      <c r="I309" s="83">
        <f>+'Costo adq'!C297*$I$1</f>
        <v>195064.8</v>
      </c>
      <c r="J309" s="83">
        <f t="shared" si="72"/>
        <v>0</v>
      </c>
      <c r="K309" s="358">
        <f t="shared" si="75"/>
        <v>0</v>
      </c>
      <c r="L309" s="54">
        <f>VLOOKUP(A309,'Precios oferta'!$A$30:$U$436,$B$5,FALSE)</f>
        <v>302183.24160000001</v>
      </c>
      <c r="M309" s="48">
        <f>VLOOKUP(A309,'Precios piso'!$A$30:$U$436,$B$5,FALSE)</f>
        <v>6273.7647999999999</v>
      </c>
      <c r="N309" s="105">
        <f t="shared" si="69"/>
        <v>0.97923854159886015</v>
      </c>
      <c r="O309" s="131">
        <f t="shared" si="77"/>
        <v>5520.9130239999995</v>
      </c>
      <c r="P309" s="388">
        <f t="shared" si="73"/>
        <v>0.98172991660699693</v>
      </c>
      <c r="Q309" s="131">
        <f t="shared" si="71"/>
        <v>5019.0118400000001</v>
      </c>
      <c r="R309" s="105">
        <f t="shared" si="74"/>
        <v>0.98339083327908805</v>
      </c>
      <c r="S309" s="131">
        <f t="shared" si="78"/>
        <v>4705.3235999999997</v>
      </c>
      <c r="T309" s="94">
        <f t="shared" si="79"/>
        <v>0.98442890619914514</v>
      </c>
      <c r="V309" s="82"/>
      <c r="W309" s="504">
        <v>261</v>
      </c>
      <c r="X309" s="506" t="s">
        <v>889</v>
      </c>
      <c r="Y309" s="508">
        <v>0</v>
      </c>
      <c r="Z309" s="403">
        <v>0</v>
      </c>
      <c r="AA309" s="407">
        <f t="shared" si="80"/>
        <v>0.97795795926352624</v>
      </c>
      <c r="AB309" s="411"/>
      <c r="AC309" s="446"/>
    </row>
    <row r="310" spans="1:29">
      <c r="A310" s="67">
        <v>258</v>
      </c>
      <c r="B310" s="74" t="s">
        <v>242</v>
      </c>
      <c r="C310" s="125" t="s">
        <v>366</v>
      </c>
      <c r="D310" s="387">
        <f t="shared" si="64"/>
        <v>0</v>
      </c>
      <c r="E310" s="104">
        <f t="shared" si="76"/>
        <v>4</v>
      </c>
      <c r="F310" s="83">
        <f t="shared" si="66"/>
        <v>3471.8256000000001</v>
      </c>
      <c r="G310" s="83">
        <f t="shared" si="67"/>
        <v>0</v>
      </c>
      <c r="H310" s="483">
        <f t="shared" si="68"/>
        <v>0</v>
      </c>
      <c r="I310" s="83">
        <f>+'Costo adq'!C298*$I$1</f>
        <v>20588.351999999999</v>
      </c>
      <c r="J310" s="83">
        <f t="shared" si="72"/>
        <v>0</v>
      </c>
      <c r="L310" s="54">
        <f>VLOOKUP(A310,'Precios oferta'!$A$30:$U$436,$B$5,FALSE)</f>
        <v>73984.745599999995</v>
      </c>
      <c r="M310" s="48">
        <f>VLOOKUP(A310,'Precios piso'!$A$30:$U$436,$B$5,FALSE)</f>
        <v>4629.1008000000002</v>
      </c>
      <c r="N310" s="105">
        <f t="shared" si="69"/>
        <v>0.9374316859176981</v>
      </c>
      <c r="O310" s="131">
        <f t="shared" si="77"/>
        <v>4073.6087040000002</v>
      </c>
      <c r="P310" s="388">
        <f t="shared" si="73"/>
        <v>0.94493988360757442</v>
      </c>
      <c r="Q310" s="131">
        <f t="shared" si="71"/>
        <v>3703.2806399999999</v>
      </c>
      <c r="R310" s="105">
        <f t="shared" si="74"/>
        <v>0.94994534873415848</v>
      </c>
      <c r="S310" s="131">
        <f t="shared" si="78"/>
        <v>3471.8256000000001</v>
      </c>
      <c r="T310" s="94">
        <f t="shared" si="79"/>
        <v>0.95307376443827363</v>
      </c>
      <c r="V310" s="82"/>
      <c r="W310" s="504">
        <v>262</v>
      </c>
      <c r="X310" s="506" t="s">
        <v>909</v>
      </c>
      <c r="Y310" s="508">
        <v>0</v>
      </c>
      <c r="Z310" s="403">
        <v>0</v>
      </c>
      <c r="AA310" s="407">
        <f t="shared" si="80"/>
        <v>0.89654113794514945</v>
      </c>
      <c r="AB310" s="411"/>
      <c r="AC310" s="446"/>
    </row>
    <row r="311" spans="1:29">
      <c r="A311" s="67">
        <v>259</v>
      </c>
      <c r="B311" s="74" t="s">
        <v>242</v>
      </c>
      <c r="C311" s="125" t="s">
        <v>365</v>
      </c>
      <c r="D311" s="387">
        <f t="shared" si="64"/>
        <v>0</v>
      </c>
      <c r="E311" s="104">
        <f t="shared" si="76"/>
        <v>4</v>
      </c>
      <c r="F311" s="83">
        <f t="shared" si="66"/>
        <v>8864.7936000000009</v>
      </c>
      <c r="G311" s="83">
        <f t="shared" si="67"/>
        <v>0</v>
      </c>
      <c r="H311" s="483">
        <f t="shared" si="68"/>
        <v>0</v>
      </c>
      <c r="I311" s="83">
        <f>+'Costo adq'!C299*$I$1</f>
        <v>247082.08</v>
      </c>
      <c r="J311" s="83">
        <f t="shared" si="72"/>
        <v>0</v>
      </c>
      <c r="K311" s="358">
        <f t="shared" si="75"/>
        <v>0</v>
      </c>
      <c r="L311" s="54">
        <f>VLOOKUP(A311,'Precios oferta'!$A$30:$U$436,$B$5,FALSE)</f>
        <v>408766.21120000002</v>
      </c>
      <c r="M311" s="48">
        <f>VLOOKUP(A311,'Precios piso'!$A$30:$U$436,$B$5,FALSE)</f>
        <v>11819.7248</v>
      </c>
      <c r="N311" s="105">
        <f t="shared" si="69"/>
        <v>0.97108438888502735</v>
      </c>
      <c r="O311" s="131">
        <f t="shared" si="77"/>
        <v>10401.357824000001</v>
      </c>
      <c r="P311" s="388">
        <f t="shared" si="73"/>
        <v>0.97455426221882402</v>
      </c>
      <c r="Q311" s="131">
        <f t="shared" si="71"/>
        <v>9455.7798399999992</v>
      </c>
      <c r="R311" s="105">
        <f t="shared" si="74"/>
        <v>0.97686751110802184</v>
      </c>
      <c r="S311" s="131">
        <f t="shared" si="78"/>
        <v>8864.7936000000009</v>
      </c>
      <c r="T311" s="94">
        <f t="shared" si="79"/>
        <v>0.97831329166377046</v>
      </c>
      <c r="V311" s="82"/>
      <c r="W311" s="504">
        <v>263</v>
      </c>
      <c r="X311" s="506" t="s">
        <v>910</v>
      </c>
      <c r="Y311" s="508">
        <v>0</v>
      </c>
      <c r="Z311" s="403">
        <v>0</v>
      </c>
      <c r="AA311" s="407">
        <f t="shared" si="80"/>
        <v>0.98282598355643136</v>
      </c>
      <c r="AB311" s="411"/>
      <c r="AC311" s="446"/>
    </row>
    <row r="312" spans="1:29">
      <c r="A312" s="67">
        <v>260</v>
      </c>
      <c r="B312" s="74" t="s">
        <v>243</v>
      </c>
      <c r="C312" s="125" t="s">
        <v>366</v>
      </c>
      <c r="D312" s="387">
        <f t="shared" si="64"/>
        <v>0</v>
      </c>
      <c r="E312" s="104">
        <f t="shared" si="76"/>
        <v>4</v>
      </c>
      <c r="F312" s="83">
        <f t="shared" si="66"/>
        <v>3588.2088000000003</v>
      </c>
      <c r="G312" s="83">
        <f t="shared" si="67"/>
        <v>0</v>
      </c>
      <c r="H312" s="483">
        <f t="shared" si="68"/>
        <v>0</v>
      </c>
      <c r="I312" s="83">
        <f>+'Costo adq'!C300*$I$1</f>
        <v>9540.1440000000002</v>
      </c>
      <c r="J312" s="83">
        <f t="shared" si="72"/>
        <v>0</v>
      </c>
      <c r="L312" s="54">
        <f>VLOOKUP(A312,'Precios oferta'!$A$30:$U$436,$B$5,FALSE)</f>
        <v>40620.468800000002</v>
      </c>
      <c r="M312" s="48">
        <f>VLOOKUP(A312,'Precios piso'!$A$30:$U$436,$B$5,FALSE)</f>
        <v>4784.2784000000001</v>
      </c>
      <c r="N312" s="105">
        <f t="shared" si="69"/>
        <v>0.88222001022302332</v>
      </c>
      <c r="O312" s="131">
        <f t="shared" si="77"/>
        <v>4210.164992</v>
      </c>
      <c r="P312" s="388">
        <f t="shared" si="73"/>
        <v>0.89635360899626049</v>
      </c>
      <c r="Q312" s="131">
        <f t="shared" si="71"/>
        <v>3827.42272</v>
      </c>
      <c r="R312" s="105">
        <f t="shared" si="74"/>
        <v>0.90577600817841863</v>
      </c>
      <c r="S312" s="131">
        <f t="shared" si="78"/>
        <v>3588.2088000000003</v>
      </c>
      <c r="T312" s="94">
        <f t="shared" si="79"/>
        <v>0.91166500766726744</v>
      </c>
      <c r="V312" s="82"/>
      <c r="W312" s="504">
        <v>264</v>
      </c>
      <c r="X312" s="506" t="s">
        <v>911</v>
      </c>
      <c r="Y312" s="508">
        <v>0</v>
      </c>
      <c r="Z312" s="403">
        <v>0</v>
      </c>
      <c r="AA312" s="407">
        <f t="shared" si="80"/>
        <v>0.96192209511203552</v>
      </c>
      <c r="AB312" s="411"/>
      <c r="AC312" s="446"/>
    </row>
    <row r="313" spans="1:29">
      <c r="A313" s="67">
        <v>261</v>
      </c>
      <c r="B313" s="74" t="s">
        <v>243</v>
      </c>
      <c r="C313" s="125" t="s">
        <v>365</v>
      </c>
      <c r="D313" s="387">
        <f t="shared" si="64"/>
        <v>0</v>
      </c>
      <c r="E313" s="104">
        <f t="shared" si="76"/>
        <v>4</v>
      </c>
      <c r="F313" s="83">
        <f t="shared" si="66"/>
        <v>4432.3968000000004</v>
      </c>
      <c r="G313" s="83">
        <f t="shared" si="67"/>
        <v>0</v>
      </c>
      <c r="H313" s="483">
        <f t="shared" si="68"/>
        <v>0</v>
      </c>
      <c r="I313" s="83">
        <f>+'Costo adq'!C301*$I$1</f>
        <v>114438.016</v>
      </c>
      <c r="J313" s="83">
        <f t="shared" si="72"/>
        <v>0</v>
      </c>
      <c r="K313" s="358">
        <f t="shared" si="75"/>
        <v>0</v>
      </c>
      <c r="L313" s="54">
        <f>VLOOKUP(A313,'Precios oferta'!$A$30:$U$436,$B$5,FALSE)</f>
        <v>201088.31359999999</v>
      </c>
      <c r="M313" s="48">
        <f>VLOOKUP(A313,'Precios piso'!$A$30:$U$436,$B$5,FALSE)</f>
        <v>5909.8624</v>
      </c>
      <c r="N313" s="105">
        <f t="shared" si="69"/>
        <v>0.97061061235136836</v>
      </c>
      <c r="O313" s="131">
        <f t="shared" si="77"/>
        <v>5200.6789120000003</v>
      </c>
      <c r="P313" s="388">
        <f t="shared" si="73"/>
        <v>0.97413733886920417</v>
      </c>
      <c r="Q313" s="131">
        <f t="shared" si="71"/>
        <v>4727.8899199999996</v>
      </c>
      <c r="R313" s="105">
        <f t="shared" si="74"/>
        <v>0.97648848988109471</v>
      </c>
      <c r="S313" s="131">
        <f t="shared" si="78"/>
        <v>4432.3968000000004</v>
      </c>
      <c r="T313" s="94">
        <f t="shared" si="79"/>
        <v>0.97795795926352624</v>
      </c>
      <c r="V313" s="82"/>
      <c r="W313" s="504">
        <v>265</v>
      </c>
      <c r="X313" s="506" t="s">
        <v>912</v>
      </c>
      <c r="Y313" s="508">
        <v>0</v>
      </c>
      <c r="Z313" s="403">
        <v>0</v>
      </c>
      <c r="AA313" s="407">
        <f t="shared" si="80"/>
        <v>0.9950301706585718</v>
      </c>
      <c r="AB313" s="411"/>
      <c r="AC313" s="446"/>
    </row>
    <row r="314" spans="1:29">
      <c r="A314" s="67">
        <v>262</v>
      </c>
      <c r="B314" s="74" t="s">
        <v>259</v>
      </c>
      <c r="C314" s="125" t="s">
        <v>366</v>
      </c>
      <c r="D314" s="387">
        <f t="shared" si="64"/>
        <v>0</v>
      </c>
      <c r="E314" s="104">
        <f t="shared" si="76"/>
        <v>4</v>
      </c>
      <c r="F314" s="83">
        <f t="shared" si="66"/>
        <v>276.20519999999999</v>
      </c>
      <c r="G314" s="83">
        <f t="shared" si="67"/>
        <v>0</v>
      </c>
      <c r="H314" s="483">
        <f t="shared" si="68"/>
        <v>0</v>
      </c>
      <c r="I314" s="83">
        <f>+'Costo adq'!C302*$I$1</f>
        <v>611.96799999999996</v>
      </c>
      <c r="J314" s="83">
        <f t="shared" si="72"/>
        <v>0</v>
      </c>
      <c r="L314" s="54">
        <f>VLOOKUP(A314,'Precios oferta'!$A$30:$U$436,$B$5,FALSE)</f>
        <v>2669.7103999999999</v>
      </c>
      <c r="M314" s="48">
        <f>VLOOKUP(A314,'Precios piso'!$A$30:$U$436,$B$5,FALSE)</f>
        <v>368.27359999999999</v>
      </c>
      <c r="N314" s="105">
        <f t="shared" si="69"/>
        <v>0.8620548505935326</v>
      </c>
      <c r="O314" s="131">
        <f t="shared" si="77"/>
        <v>324.08076799999998</v>
      </c>
      <c r="P314" s="388">
        <f t="shared" si="73"/>
        <v>0.87860826852230867</v>
      </c>
      <c r="Q314" s="131">
        <f t="shared" si="71"/>
        <v>294.61887999999999</v>
      </c>
      <c r="R314" s="105">
        <f t="shared" si="74"/>
        <v>0.88964388047482601</v>
      </c>
      <c r="S314" s="131">
        <f t="shared" si="78"/>
        <v>276.20519999999999</v>
      </c>
      <c r="T314" s="94">
        <f t="shared" si="79"/>
        <v>0.89654113794514945</v>
      </c>
      <c r="V314" s="82"/>
      <c r="W314" s="504">
        <v>266</v>
      </c>
      <c r="X314" s="506" t="s">
        <v>913</v>
      </c>
      <c r="Y314" s="508">
        <v>0</v>
      </c>
      <c r="Z314" s="403">
        <v>0</v>
      </c>
      <c r="AA314" s="407">
        <f t="shared" si="80"/>
        <v>0.96090835360908355</v>
      </c>
      <c r="AB314" s="411"/>
      <c r="AC314" s="446"/>
    </row>
    <row r="315" spans="1:29">
      <c r="A315" s="67">
        <v>263</v>
      </c>
      <c r="B315" s="74" t="s">
        <v>259</v>
      </c>
      <c r="C315" s="125" t="s">
        <v>365</v>
      </c>
      <c r="D315" s="387">
        <f t="shared" si="64"/>
        <v>0</v>
      </c>
      <c r="E315" s="104">
        <f t="shared" si="76"/>
        <v>4</v>
      </c>
      <c r="F315" s="83">
        <f t="shared" si="66"/>
        <v>276.20519999999999</v>
      </c>
      <c r="G315" s="83">
        <f t="shared" si="67"/>
        <v>0</v>
      </c>
      <c r="H315" s="483">
        <f t="shared" si="68"/>
        <v>0</v>
      </c>
      <c r="I315" s="83">
        <f>+'Costo adq'!C303*$I$1</f>
        <v>7267.12</v>
      </c>
      <c r="J315" s="83">
        <f t="shared" si="72"/>
        <v>0</v>
      </c>
      <c r="K315" s="358">
        <f t="shared" si="75"/>
        <v>0</v>
      </c>
      <c r="L315" s="54">
        <f>VLOOKUP(A315,'Precios oferta'!$A$30:$U$436,$B$5,FALSE)</f>
        <v>16082.7376</v>
      </c>
      <c r="M315" s="48">
        <f>VLOOKUP(A315,'Precios piso'!$A$30:$U$436,$B$5,FALSE)</f>
        <v>368.27359999999999</v>
      </c>
      <c r="N315" s="105">
        <f t="shared" si="69"/>
        <v>0.97710131140857515</v>
      </c>
      <c r="O315" s="131">
        <f t="shared" si="77"/>
        <v>324.08076799999998</v>
      </c>
      <c r="P315" s="388">
        <f t="shared" si="73"/>
        <v>0.97984915403954609</v>
      </c>
      <c r="Q315" s="131">
        <f t="shared" si="71"/>
        <v>294.61887999999999</v>
      </c>
      <c r="R315" s="105">
        <f t="shared" si="74"/>
        <v>0.98168104912686005</v>
      </c>
      <c r="S315" s="131">
        <f t="shared" si="78"/>
        <v>276.20519999999999</v>
      </c>
      <c r="T315" s="94">
        <f t="shared" si="79"/>
        <v>0.98282598355643136</v>
      </c>
      <c r="V315" s="82"/>
      <c r="W315" s="504">
        <v>267</v>
      </c>
      <c r="X315" s="506" t="s">
        <v>914</v>
      </c>
      <c r="Y315" s="508">
        <v>0</v>
      </c>
      <c r="Z315" s="403">
        <v>0</v>
      </c>
      <c r="AA315" s="407">
        <f t="shared" si="80"/>
        <v>0.99216735640153408</v>
      </c>
      <c r="AB315" s="411"/>
      <c r="AC315" s="446"/>
    </row>
    <row r="316" spans="1:29">
      <c r="A316" s="67">
        <v>264</v>
      </c>
      <c r="B316" s="74" t="s">
        <v>260</v>
      </c>
      <c r="C316" s="125" t="s">
        <v>366</v>
      </c>
      <c r="D316" s="387">
        <f t="shared" si="64"/>
        <v>0</v>
      </c>
      <c r="E316" s="104">
        <f t="shared" si="76"/>
        <v>4</v>
      </c>
      <c r="F316" s="83">
        <f t="shared" si="66"/>
        <v>440.12520000000006</v>
      </c>
      <c r="G316" s="83">
        <f t="shared" si="67"/>
        <v>0</v>
      </c>
      <c r="H316" s="483">
        <f t="shared" si="68"/>
        <v>0</v>
      </c>
      <c r="I316" s="83">
        <f>+'Costo adq'!C304*$I$1</f>
        <v>2710.1439999999998</v>
      </c>
      <c r="J316" s="83">
        <f t="shared" si="72"/>
        <v>0</v>
      </c>
      <c r="L316" s="54">
        <f>VLOOKUP(A316,'Precios oferta'!$A$30:$U$436,$B$5,FALSE)</f>
        <v>11558.545599999999</v>
      </c>
      <c r="M316" s="48">
        <f>VLOOKUP(A316,'Precios piso'!$A$30:$U$436,$B$5,FALSE)</f>
        <v>586.83360000000005</v>
      </c>
      <c r="N316" s="105">
        <f t="shared" si="69"/>
        <v>0.9492294601493807</v>
      </c>
      <c r="O316" s="131">
        <f t="shared" si="77"/>
        <v>516.41356800000005</v>
      </c>
      <c r="P316" s="388">
        <f t="shared" si="73"/>
        <v>0.95532192493145507</v>
      </c>
      <c r="Q316" s="131">
        <f t="shared" si="71"/>
        <v>469.46688000000006</v>
      </c>
      <c r="R316" s="105">
        <f t="shared" si="74"/>
        <v>0.95938356811950454</v>
      </c>
      <c r="S316" s="131">
        <f t="shared" si="78"/>
        <v>440.12520000000006</v>
      </c>
      <c r="T316" s="94">
        <f t="shared" si="79"/>
        <v>0.96192209511203552</v>
      </c>
      <c r="V316" s="82"/>
      <c r="W316" s="504">
        <v>268</v>
      </c>
      <c r="X316" s="506" t="s">
        <v>915</v>
      </c>
      <c r="Y316" s="508">
        <v>0</v>
      </c>
      <c r="Z316" s="403">
        <v>0</v>
      </c>
      <c r="AA316" s="407">
        <f t="shared" si="80"/>
        <v>0.94115872057936034</v>
      </c>
      <c r="AB316" s="411"/>
      <c r="AC316" s="446"/>
    </row>
    <row r="317" spans="1:29">
      <c r="A317" s="67">
        <v>265</v>
      </c>
      <c r="B317" s="74" t="s">
        <v>260</v>
      </c>
      <c r="C317" s="125" t="s">
        <v>365</v>
      </c>
      <c r="D317" s="387">
        <f t="shared" si="64"/>
        <v>0</v>
      </c>
      <c r="E317" s="104">
        <f t="shared" si="76"/>
        <v>4</v>
      </c>
      <c r="F317" s="83">
        <f t="shared" si="66"/>
        <v>440.12520000000006</v>
      </c>
      <c r="G317" s="83">
        <f t="shared" si="67"/>
        <v>0</v>
      </c>
      <c r="H317" s="483">
        <f t="shared" si="68"/>
        <v>0</v>
      </c>
      <c r="I317" s="83">
        <f>+'Costo adq'!C305*$I$1</f>
        <v>32510.799999999999</v>
      </c>
      <c r="J317" s="83">
        <f t="shared" si="72"/>
        <v>0</v>
      </c>
      <c r="K317" s="358">
        <f t="shared" si="75"/>
        <v>0</v>
      </c>
      <c r="L317" s="54">
        <f>VLOOKUP(A317,'Precios oferta'!$A$30:$U$436,$B$5,FALSE)</f>
        <v>88559.419200000004</v>
      </c>
      <c r="M317" s="48">
        <f>VLOOKUP(A317,'Precios piso'!$A$30:$U$436,$B$5,FALSE)</f>
        <v>586.83360000000005</v>
      </c>
      <c r="N317" s="105">
        <f t="shared" si="69"/>
        <v>0.9933735608780957</v>
      </c>
      <c r="O317" s="131">
        <f t="shared" si="77"/>
        <v>516.41356800000005</v>
      </c>
      <c r="P317" s="388">
        <f t="shared" si="73"/>
        <v>0.99416873357272428</v>
      </c>
      <c r="Q317" s="131">
        <f t="shared" si="71"/>
        <v>469.46688000000006</v>
      </c>
      <c r="R317" s="105">
        <f t="shared" si="74"/>
        <v>0.9946988487024766</v>
      </c>
      <c r="S317" s="131">
        <f t="shared" si="78"/>
        <v>440.12520000000006</v>
      </c>
      <c r="T317" s="94">
        <f t="shared" si="79"/>
        <v>0.9950301706585718</v>
      </c>
      <c r="V317" s="82"/>
      <c r="W317" s="504">
        <v>269</v>
      </c>
      <c r="X317" s="506" t="s">
        <v>916</v>
      </c>
      <c r="Y317" s="508">
        <v>0</v>
      </c>
      <c r="Z317" s="403">
        <v>0</v>
      </c>
      <c r="AA317" s="407">
        <f t="shared" si="80"/>
        <v>0.99031537124410229</v>
      </c>
      <c r="AB317" s="411"/>
      <c r="AC317" s="446"/>
    </row>
    <row r="318" spans="1:29">
      <c r="A318" s="67">
        <v>266</v>
      </c>
      <c r="B318" s="74" t="s">
        <v>261</v>
      </c>
      <c r="C318" s="125" t="s">
        <v>366</v>
      </c>
      <c r="D318" s="387">
        <f t="shared" si="64"/>
        <v>0</v>
      </c>
      <c r="E318" s="104">
        <f t="shared" si="76"/>
        <v>4</v>
      </c>
      <c r="F318" s="83">
        <f t="shared" si="66"/>
        <v>790.09439999999995</v>
      </c>
      <c r="G318" s="83">
        <f t="shared" si="67"/>
        <v>0</v>
      </c>
      <c r="H318" s="483">
        <f t="shared" si="68"/>
        <v>0</v>
      </c>
      <c r="I318" s="83">
        <f>+'Costo adq'!C306*$I$1</f>
        <v>3792.0160000000001</v>
      </c>
      <c r="J318" s="83">
        <f t="shared" si="72"/>
        <v>0</v>
      </c>
      <c r="L318" s="54">
        <f>VLOOKUP(A318,'Precios oferta'!$A$30:$U$436,$B$5,FALSE)</f>
        <v>20211.335999999999</v>
      </c>
      <c r="M318" s="48">
        <f>VLOOKUP(A318,'Precios piso'!$A$30:$U$436,$B$5,FALSE)</f>
        <v>1053.4592</v>
      </c>
      <c r="N318" s="105">
        <f t="shared" si="69"/>
        <v>0.94787780481211137</v>
      </c>
      <c r="O318" s="131">
        <f t="shared" si="77"/>
        <v>927.04409599999997</v>
      </c>
      <c r="P318" s="388">
        <f t="shared" si="73"/>
        <v>0.95413246823465803</v>
      </c>
      <c r="Q318" s="131">
        <f t="shared" si="71"/>
        <v>842.76736000000005</v>
      </c>
      <c r="R318" s="105">
        <f t="shared" si="74"/>
        <v>0.95830224384968909</v>
      </c>
      <c r="S318" s="131">
        <f t="shared" si="78"/>
        <v>790.09439999999995</v>
      </c>
      <c r="T318" s="94">
        <f t="shared" si="79"/>
        <v>0.96090835360908355</v>
      </c>
      <c r="V318" s="82"/>
      <c r="W318" s="504">
        <v>270</v>
      </c>
      <c r="X318" s="506" t="s">
        <v>917</v>
      </c>
      <c r="Y318" s="508">
        <v>0</v>
      </c>
      <c r="Z318" s="403">
        <v>0</v>
      </c>
      <c r="AA318" s="407">
        <f t="shared" si="80"/>
        <v>0.96378813355753068</v>
      </c>
      <c r="AB318" s="411"/>
      <c r="AC318" s="446"/>
    </row>
    <row r="319" spans="1:29">
      <c r="A319" s="67">
        <v>267</v>
      </c>
      <c r="B319" s="74" t="s">
        <v>261</v>
      </c>
      <c r="C319" s="125" t="s">
        <v>365</v>
      </c>
      <c r="D319" s="387">
        <f t="shared" si="64"/>
        <v>0</v>
      </c>
      <c r="E319" s="104">
        <f t="shared" si="76"/>
        <v>4</v>
      </c>
      <c r="F319" s="83">
        <f t="shared" si="66"/>
        <v>790.09439999999995</v>
      </c>
      <c r="G319" s="83">
        <f t="shared" si="67"/>
        <v>0</v>
      </c>
      <c r="H319" s="483">
        <f t="shared" si="68"/>
        <v>0</v>
      </c>
      <c r="I319" s="83">
        <f>+'Costo adq'!C307*$I$1</f>
        <v>45515.12</v>
      </c>
      <c r="J319" s="83">
        <f t="shared" si="72"/>
        <v>0</v>
      </c>
      <c r="K319" s="358">
        <f t="shared" si="75"/>
        <v>0</v>
      </c>
      <c r="L319" s="54">
        <f>VLOOKUP(A319,'Precios oferta'!$A$30:$U$436,$B$5,FALSE)</f>
        <v>100871.99679999999</v>
      </c>
      <c r="M319" s="48">
        <f>VLOOKUP(A319,'Precios piso'!$A$30:$U$436,$B$5,FALSE)</f>
        <v>1053.4592</v>
      </c>
      <c r="N319" s="105">
        <f t="shared" si="69"/>
        <v>0.98955647520204537</v>
      </c>
      <c r="O319" s="131">
        <f t="shared" si="77"/>
        <v>927.04409599999997</v>
      </c>
      <c r="P319" s="388">
        <f t="shared" si="73"/>
        <v>0.99080969817779996</v>
      </c>
      <c r="Q319" s="131">
        <f t="shared" si="71"/>
        <v>842.76736000000005</v>
      </c>
      <c r="R319" s="105">
        <f t="shared" si="74"/>
        <v>0.99164518016163627</v>
      </c>
      <c r="S319" s="131">
        <f t="shared" si="78"/>
        <v>790.09439999999995</v>
      </c>
      <c r="T319" s="94">
        <f t="shared" si="79"/>
        <v>0.99216735640153408</v>
      </c>
      <c r="V319" s="82"/>
      <c r="W319" s="504">
        <v>271</v>
      </c>
      <c r="X319" s="506" t="s">
        <v>918</v>
      </c>
      <c r="Y319" s="508">
        <v>0</v>
      </c>
      <c r="Z319" s="403">
        <v>0</v>
      </c>
      <c r="AA319" s="407">
        <f t="shared" si="80"/>
        <v>0.99464152418867524</v>
      </c>
      <c r="AB319" s="411"/>
      <c r="AC319" s="446"/>
    </row>
    <row r="320" spans="1:29">
      <c r="A320" s="67">
        <v>268</v>
      </c>
      <c r="B320" s="74" t="s">
        <v>262</v>
      </c>
      <c r="C320" s="125" t="s">
        <v>366</v>
      </c>
      <c r="D320" s="387">
        <f t="shared" si="64"/>
        <v>0</v>
      </c>
      <c r="E320" s="104">
        <f t="shared" si="76"/>
        <v>4</v>
      </c>
      <c r="F320" s="83">
        <f t="shared" si="66"/>
        <v>213.096</v>
      </c>
      <c r="G320" s="83">
        <f t="shared" si="67"/>
        <v>0</v>
      </c>
      <c r="H320" s="483">
        <f t="shared" si="68"/>
        <v>0</v>
      </c>
      <c r="I320" s="83">
        <f>+'Costo adq'!C308*$I$1</f>
        <v>803.20799999999997</v>
      </c>
      <c r="J320" s="83">
        <f t="shared" si="72"/>
        <v>0</v>
      </c>
      <c r="L320" s="54">
        <f>VLOOKUP(A320,'Precios oferta'!$A$30:$U$436,$B$5,FALSE)</f>
        <v>3621.5392000000002</v>
      </c>
      <c r="M320" s="48">
        <f>VLOOKUP(A320,'Precios piso'!$A$30:$U$436,$B$5,FALSE)</f>
        <v>284.12799999999999</v>
      </c>
      <c r="N320" s="105">
        <f t="shared" si="69"/>
        <v>0.92154496077248038</v>
      </c>
      <c r="O320" s="131">
        <f t="shared" si="77"/>
        <v>250.03263999999999</v>
      </c>
      <c r="P320" s="388">
        <f t="shared" si="73"/>
        <v>0.93095956547978276</v>
      </c>
      <c r="Q320" s="131">
        <f t="shared" si="71"/>
        <v>227.30239999999998</v>
      </c>
      <c r="R320" s="105">
        <f t="shared" si="74"/>
        <v>0.93723596861798431</v>
      </c>
      <c r="S320" s="131">
        <f t="shared" si="78"/>
        <v>213.096</v>
      </c>
      <c r="T320" s="94">
        <f t="shared" si="79"/>
        <v>0.94115872057936034</v>
      </c>
      <c r="V320" s="82"/>
      <c r="W320" s="504">
        <v>272</v>
      </c>
      <c r="X320" s="506" t="s">
        <v>919</v>
      </c>
      <c r="Y320" s="508">
        <v>0</v>
      </c>
      <c r="Z320" s="403">
        <v>0</v>
      </c>
      <c r="AA320" s="407">
        <f t="shared" si="80"/>
        <v>0.94024877832074638</v>
      </c>
      <c r="AB320" s="411"/>
      <c r="AC320" s="446"/>
    </row>
    <row r="321" spans="1:29">
      <c r="A321" s="67">
        <v>269</v>
      </c>
      <c r="B321" s="74" t="s">
        <v>262</v>
      </c>
      <c r="C321" s="125" t="s">
        <v>365</v>
      </c>
      <c r="D321" s="387">
        <f t="shared" si="64"/>
        <v>0</v>
      </c>
      <c r="E321" s="104">
        <f t="shared" si="76"/>
        <v>4</v>
      </c>
      <c r="F321" s="83">
        <f t="shared" si="66"/>
        <v>213.096</v>
      </c>
      <c r="G321" s="83">
        <f t="shared" si="67"/>
        <v>0</v>
      </c>
      <c r="H321" s="483">
        <f t="shared" si="68"/>
        <v>0</v>
      </c>
      <c r="I321" s="83">
        <f>+'Costo adq'!C309*$I$1</f>
        <v>9627.5679999999993</v>
      </c>
      <c r="J321" s="83">
        <f t="shared" si="72"/>
        <v>0</v>
      </c>
      <c r="K321" s="358">
        <f t="shared" si="75"/>
        <v>0</v>
      </c>
      <c r="L321" s="54">
        <f>VLOOKUP(A321,'Precios oferta'!$A$30:$U$436,$B$5,FALSE)</f>
        <v>22003.527999999998</v>
      </c>
      <c r="M321" s="48">
        <f>VLOOKUP(A321,'Precios piso'!$A$30:$U$436,$B$5,FALSE)</f>
        <v>284.12799999999999</v>
      </c>
      <c r="N321" s="105">
        <f t="shared" si="69"/>
        <v>0.98708716165880306</v>
      </c>
      <c r="O321" s="131">
        <f t="shared" si="77"/>
        <v>250.03263999999999</v>
      </c>
      <c r="P321" s="388">
        <f t="shared" si="73"/>
        <v>0.98863670225974676</v>
      </c>
      <c r="Q321" s="131">
        <f t="shared" si="71"/>
        <v>227.30239999999998</v>
      </c>
      <c r="R321" s="105">
        <f t="shared" si="74"/>
        <v>0.98966972932704245</v>
      </c>
      <c r="S321" s="131">
        <f t="shared" si="78"/>
        <v>213.096</v>
      </c>
      <c r="T321" s="94">
        <f t="shared" si="79"/>
        <v>0.99031537124410229</v>
      </c>
      <c r="V321" s="82"/>
      <c r="W321" s="504">
        <v>273</v>
      </c>
      <c r="X321" s="506" t="s">
        <v>920</v>
      </c>
      <c r="Y321" s="508">
        <v>0</v>
      </c>
      <c r="Z321" s="403">
        <v>0</v>
      </c>
      <c r="AA321" s="407">
        <f t="shared" si="80"/>
        <v>0.98816608523154803</v>
      </c>
      <c r="AB321" s="411"/>
      <c r="AC321" s="446"/>
    </row>
    <row r="322" spans="1:29">
      <c r="A322" s="67">
        <v>270</v>
      </c>
      <c r="B322" s="74" t="s">
        <v>263</v>
      </c>
      <c r="C322" s="125" t="s">
        <v>366</v>
      </c>
      <c r="D322" s="387">
        <f t="shared" si="64"/>
        <v>0</v>
      </c>
      <c r="E322" s="104">
        <f t="shared" si="76"/>
        <v>4</v>
      </c>
      <c r="F322" s="83">
        <f t="shared" si="66"/>
        <v>164.7396</v>
      </c>
      <c r="G322" s="83">
        <f t="shared" si="67"/>
        <v>0</v>
      </c>
      <c r="H322" s="483">
        <f t="shared" si="68"/>
        <v>0</v>
      </c>
      <c r="I322" s="83">
        <f>+'Costo adq'!C310*$I$1</f>
        <v>1409.712</v>
      </c>
      <c r="J322" s="83">
        <f t="shared" si="72"/>
        <v>0</v>
      </c>
      <c r="L322" s="54">
        <f>VLOOKUP(A322,'Precios oferta'!$A$30:$U$436,$B$5,FALSE)</f>
        <v>4549.3263999999999</v>
      </c>
      <c r="M322" s="48">
        <f>VLOOKUP(A322,'Precios piso'!$A$30:$U$436,$B$5,FALSE)</f>
        <v>219.65280000000001</v>
      </c>
      <c r="N322" s="105">
        <f t="shared" si="69"/>
        <v>0.9517175114100408</v>
      </c>
      <c r="O322" s="131">
        <f t="shared" si="77"/>
        <v>193.294464</v>
      </c>
      <c r="P322" s="388">
        <f t="shared" si="73"/>
        <v>0.95751141004083595</v>
      </c>
      <c r="Q322" s="131">
        <f t="shared" si="71"/>
        <v>175.72224</v>
      </c>
      <c r="R322" s="105">
        <f t="shared" si="74"/>
        <v>0.96137400912803272</v>
      </c>
      <c r="S322" s="131">
        <f t="shared" si="78"/>
        <v>164.7396</v>
      </c>
      <c r="T322" s="94">
        <f t="shared" si="79"/>
        <v>0.96378813355753068</v>
      </c>
      <c r="V322" s="82"/>
      <c r="W322" s="504">
        <v>274</v>
      </c>
      <c r="X322" s="506" t="s">
        <v>921</v>
      </c>
      <c r="Y322" s="508">
        <v>0</v>
      </c>
      <c r="Z322" s="403">
        <v>0</v>
      </c>
      <c r="AA322" s="407">
        <f t="shared" si="80"/>
        <v>0.93628526645768029</v>
      </c>
      <c r="AB322" s="411"/>
      <c r="AC322" s="446"/>
    </row>
    <row r="323" spans="1:29">
      <c r="A323" s="67">
        <v>271</v>
      </c>
      <c r="B323" s="74" t="s">
        <v>263</v>
      </c>
      <c r="C323" s="125" t="s">
        <v>365</v>
      </c>
      <c r="D323" s="387">
        <f t="shared" si="64"/>
        <v>0</v>
      </c>
      <c r="E323" s="104">
        <f t="shared" si="76"/>
        <v>4</v>
      </c>
      <c r="F323" s="83">
        <f t="shared" si="66"/>
        <v>164.7396</v>
      </c>
      <c r="G323" s="83">
        <f t="shared" si="67"/>
        <v>0</v>
      </c>
      <c r="H323" s="483">
        <f t="shared" si="68"/>
        <v>0</v>
      </c>
      <c r="I323" s="83">
        <f>+'Costo adq'!C311*$I$1</f>
        <v>16840.594399999998</v>
      </c>
      <c r="J323" s="83">
        <f t="shared" si="72"/>
        <v>0</v>
      </c>
      <c r="K323" s="358">
        <f t="shared" si="75"/>
        <v>0</v>
      </c>
      <c r="L323" s="54">
        <f>VLOOKUP(A323,'Precios oferta'!$A$30:$U$436,$B$5,FALSE)</f>
        <v>30743.742399999999</v>
      </c>
      <c r="M323" s="48">
        <f>VLOOKUP(A323,'Precios piso'!$A$30:$U$436,$B$5,FALSE)</f>
        <v>219.65280000000001</v>
      </c>
      <c r="N323" s="105">
        <f t="shared" si="69"/>
        <v>0.99285536558490028</v>
      </c>
      <c r="O323" s="131">
        <f t="shared" si="77"/>
        <v>193.294464</v>
      </c>
      <c r="P323" s="388">
        <f t="shared" si="73"/>
        <v>0.99371272171471225</v>
      </c>
      <c r="Q323" s="131">
        <f t="shared" si="71"/>
        <v>175.72224</v>
      </c>
      <c r="R323" s="105">
        <f t="shared" si="74"/>
        <v>0.99428429246792027</v>
      </c>
      <c r="S323" s="131">
        <f t="shared" si="78"/>
        <v>164.7396</v>
      </c>
      <c r="T323" s="94">
        <f t="shared" si="79"/>
        <v>0.99464152418867524</v>
      </c>
      <c r="V323" s="82"/>
      <c r="W323" s="504">
        <v>275</v>
      </c>
      <c r="X323" s="506" t="s">
        <v>922</v>
      </c>
      <c r="Y323" s="508">
        <v>0</v>
      </c>
      <c r="Z323" s="403">
        <v>0</v>
      </c>
      <c r="AA323" s="407">
        <f t="shared" si="80"/>
        <v>0.98464744036825225</v>
      </c>
      <c r="AB323" s="411"/>
      <c r="AC323" s="446"/>
    </row>
    <row r="324" spans="1:29">
      <c r="A324" s="67">
        <v>272</v>
      </c>
      <c r="B324" s="74" t="s">
        <v>264</v>
      </c>
      <c r="C324" s="125" t="s">
        <v>366</v>
      </c>
      <c r="D324" s="387">
        <f t="shared" ref="D324:D387" si="81">VLOOKUP(A324,$W$49:$Y$455,3,FALSE)</f>
        <v>0</v>
      </c>
      <c r="E324" s="104">
        <f t="shared" ref="E324:E355" si="82">$B$6</f>
        <v>4</v>
      </c>
      <c r="F324" s="83">
        <f t="shared" ref="F324:F387" si="83">IF($K$478=$L$48,L324,IF($K$478=$M$48,M324,IF($K$478=$O$48,O324,IF($K$478=$Q$48,Q324,IF($K$478=$S$48,S324,"ERROR")))))</f>
        <v>440.94479999999999</v>
      </c>
      <c r="G324" s="83">
        <f t="shared" ref="G324:G387" si="84">F324*E324*D324</f>
        <v>0</v>
      </c>
      <c r="H324" s="483">
        <f t="shared" ref="H324:H387" si="85">+F324-S324</f>
        <v>0</v>
      </c>
      <c r="I324" s="83">
        <f>+'Costo adq'!C312*$I$1</f>
        <v>1464.3520000000001</v>
      </c>
      <c r="J324" s="83">
        <f t="shared" si="72"/>
        <v>0</v>
      </c>
      <c r="L324" s="54">
        <f>VLOOKUP(A324,'Precios oferta'!$A$30:$U$436,$B$5,FALSE)</f>
        <v>7379.6783999999998</v>
      </c>
      <c r="M324" s="48">
        <f>VLOOKUP(A324,'Precios piso'!$A$30:$U$436,$B$5,FALSE)</f>
        <v>587.92639999999994</v>
      </c>
      <c r="N324" s="105">
        <f t="shared" ref="N324:N387" si="86">1-(M324/L324)</f>
        <v>0.92033170442766177</v>
      </c>
      <c r="O324" s="131">
        <f t="shared" ref="O324:O355" si="87">+M324-(M324*$N$481)</f>
        <v>517.37523199999998</v>
      </c>
      <c r="P324" s="388">
        <f t="shared" si="73"/>
        <v>0.92989189989634236</v>
      </c>
      <c r="Q324" s="131">
        <f t="shared" ref="Q324:Q385" si="88">+M324-(M324*20%)</f>
        <v>470.34111999999993</v>
      </c>
      <c r="R324" s="105">
        <f t="shared" si="74"/>
        <v>0.93626536354212941</v>
      </c>
      <c r="S324" s="131">
        <f t="shared" si="78"/>
        <v>440.94479999999999</v>
      </c>
      <c r="T324" s="94">
        <f t="shared" si="79"/>
        <v>0.94024877832074638</v>
      </c>
      <c r="V324" s="82"/>
      <c r="W324" s="504">
        <v>276</v>
      </c>
      <c r="X324" s="506" t="s">
        <v>923</v>
      </c>
      <c r="Y324" s="508">
        <v>0</v>
      </c>
      <c r="Z324" s="403">
        <v>0</v>
      </c>
      <c r="AA324" s="407">
        <f t="shared" si="80"/>
        <v>0.94751019981169582</v>
      </c>
      <c r="AB324" s="411"/>
      <c r="AC324" s="446"/>
    </row>
    <row r="325" spans="1:29">
      <c r="A325" s="67">
        <v>273</v>
      </c>
      <c r="B325" s="74" t="s">
        <v>264</v>
      </c>
      <c r="C325" s="125" t="s">
        <v>365</v>
      </c>
      <c r="D325" s="387">
        <f t="shared" si="81"/>
        <v>0</v>
      </c>
      <c r="E325" s="104">
        <f t="shared" si="82"/>
        <v>4</v>
      </c>
      <c r="F325" s="83">
        <f t="shared" si="83"/>
        <v>567.16319999999996</v>
      </c>
      <c r="G325" s="83">
        <f t="shared" si="84"/>
        <v>0</v>
      </c>
      <c r="H325" s="483">
        <f t="shared" si="85"/>
        <v>0</v>
      </c>
      <c r="I325" s="83">
        <f>+'Costo adq'!C313*$I$1</f>
        <v>17555.831999999999</v>
      </c>
      <c r="J325" s="83">
        <f t="shared" ref="J325:J388" si="89">I325*E325*D325</f>
        <v>0</v>
      </c>
      <c r="K325" s="358">
        <f t="shared" si="75"/>
        <v>0</v>
      </c>
      <c r="L325" s="54">
        <f>VLOOKUP(A325,'Precios oferta'!$A$30:$U$436,$B$5,FALSE)</f>
        <v>47926.929600000003</v>
      </c>
      <c r="M325" s="48">
        <f>VLOOKUP(A325,'Precios piso'!$A$30:$U$436,$B$5,FALSE)</f>
        <v>756.21759999999995</v>
      </c>
      <c r="N325" s="105">
        <f t="shared" si="86"/>
        <v>0.98422144697539726</v>
      </c>
      <c r="O325" s="131">
        <f t="shared" si="87"/>
        <v>665.47148799999991</v>
      </c>
      <c r="P325" s="388">
        <f t="shared" ref="P325:P388" si="90">1-(O325/L325)</f>
        <v>0.98611487333834968</v>
      </c>
      <c r="Q325" s="131">
        <f t="shared" si="88"/>
        <v>604.97407999999996</v>
      </c>
      <c r="R325" s="105">
        <f t="shared" ref="R325:R385" si="91">1-(Q325/L325)</f>
        <v>0.98737715758031785</v>
      </c>
      <c r="S325" s="131">
        <f t="shared" si="78"/>
        <v>567.16319999999996</v>
      </c>
      <c r="T325" s="94">
        <f t="shared" si="79"/>
        <v>0.98816608523154803</v>
      </c>
      <c r="V325" s="82"/>
      <c r="W325" s="504">
        <v>277</v>
      </c>
      <c r="X325" s="506" t="s">
        <v>924</v>
      </c>
      <c r="Y325" s="508">
        <v>0</v>
      </c>
      <c r="Z325" s="403">
        <v>0</v>
      </c>
      <c r="AA325" s="407">
        <f t="shared" si="80"/>
        <v>0.98386579420066722</v>
      </c>
      <c r="AB325" s="411"/>
      <c r="AC325" s="446"/>
    </row>
    <row r="326" spans="1:29">
      <c r="A326" s="67">
        <v>274</v>
      </c>
      <c r="B326" s="74" t="s">
        <v>265</v>
      </c>
      <c r="C326" s="125" t="s">
        <v>366</v>
      </c>
      <c r="D326" s="387">
        <f t="shared" si="81"/>
        <v>0</v>
      </c>
      <c r="E326" s="104">
        <f t="shared" si="82"/>
        <v>4</v>
      </c>
      <c r="F326" s="83">
        <f t="shared" si="83"/>
        <v>444.22320000000002</v>
      </c>
      <c r="G326" s="83">
        <f t="shared" si="84"/>
        <v>0</v>
      </c>
      <c r="H326" s="483">
        <f t="shared" si="85"/>
        <v>0</v>
      </c>
      <c r="I326" s="83">
        <f>+'Costo adq'!C314*$I$1</f>
        <v>1573.6320000000001</v>
      </c>
      <c r="J326" s="83">
        <f t="shared" si="89"/>
        <v>0</v>
      </c>
      <c r="L326" s="54">
        <f>VLOOKUP(A326,'Precios oferta'!$A$30:$U$436,$B$5,FALSE)</f>
        <v>6972.0640000000003</v>
      </c>
      <c r="M326" s="48">
        <f>VLOOKUP(A326,'Precios piso'!$A$30:$U$436,$B$5,FALSE)</f>
        <v>592.29759999999999</v>
      </c>
      <c r="N326" s="105">
        <f t="shared" si="86"/>
        <v>0.91504702194357368</v>
      </c>
      <c r="O326" s="131">
        <f t="shared" si="87"/>
        <v>521.22188800000004</v>
      </c>
      <c r="P326" s="388">
        <f t="shared" si="90"/>
        <v>0.92524137931034478</v>
      </c>
      <c r="Q326" s="131">
        <f t="shared" si="88"/>
        <v>473.83807999999999</v>
      </c>
      <c r="R326" s="105">
        <f t="shared" si="91"/>
        <v>0.93203761755485892</v>
      </c>
      <c r="S326" s="131">
        <f t="shared" si="78"/>
        <v>444.22320000000002</v>
      </c>
      <c r="T326" s="94">
        <f t="shared" si="79"/>
        <v>0.93628526645768029</v>
      </c>
      <c r="V326" s="82"/>
      <c r="W326" s="504">
        <v>278</v>
      </c>
      <c r="X326" s="506" t="s">
        <v>925</v>
      </c>
      <c r="Y326" s="508">
        <v>0</v>
      </c>
      <c r="Z326" s="403">
        <v>0</v>
      </c>
      <c r="AA326" s="407">
        <f t="shared" si="80"/>
        <v>0.90876792698826603</v>
      </c>
      <c r="AB326" s="411"/>
      <c r="AC326" s="446"/>
    </row>
    <row r="327" spans="1:29">
      <c r="A327" s="67">
        <v>275</v>
      </c>
      <c r="B327" s="74" t="s">
        <v>265</v>
      </c>
      <c r="C327" s="125" t="s">
        <v>365</v>
      </c>
      <c r="D327" s="387">
        <f t="shared" si="81"/>
        <v>0</v>
      </c>
      <c r="E327" s="104">
        <f t="shared" si="82"/>
        <v>4</v>
      </c>
      <c r="F327" s="83">
        <f t="shared" si="83"/>
        <v>962.21040000000005</v>
      </c>
      <c r="G327" s="83">
        <f t="shared" si="84"/>
        <v>0</v>
      </c>
      <c r="H327" s="483">
        <f t="shared" si="85"/>
        <v>0</v>
      </c>
      <c r="I327" s="83">
        <f>+'Costo adq'!C315*$I$1</f>
        <v>18856.263999999999</v>
      </c>
      <c r="J327" s="83">
        <f t="shared" si="89"/>
        <v>0</v>
      </c>
      <c r="K327" s="358">
        <f t="shared" si="75"/>
        <v>0</v>
      </c>
      <c r="L327" s="54">
        <f>VLOOKUP(A327,'Precios oferta'!$A$30:$U$436,$B$5,FALSE)</f>
        <v>62674.265599999999</v>
      </c>
      <c r="M327" s="48">
        <f>VLOOKUP(A327,'Precios piso'!$A$30:$U$436,$B$5,FALSE)</f>
        <v>1282.9472000000001</v>
      </c>
      <c r="N327" s="105">
        <f t="shared" si="86"/>
        <v>0.97952992049100296</v>
      </c>
      <c r="O327" s="131">
        <f t="shared" si="87"/>
        <v>1128.9935359999999</v>
      </c>
      <c r="P327" s="388">
        <f t="shared" si="90"/>
        <v>0.98198633003208258</v>
      </c>
      <c r="Q327" s="131">
        <f t="shared" si="88"/>
        <v>1026.3577600000001</v>
      </c>
      <c r="R327" s="105">
        <f t="shared" si="91"/>
        <v>0.98362393639280232</v>
      </c>
      <c r="S327" s="131">
        <f t="shared" si="78"/>
        <v>962.21040000000005</v>
      </c>
      <c r="T327" s="94">
        <f t="shared" si="79"/>
        <v>0.98464744036825225</v>
      </c>
      <c r="V327" s="82"/>
      <c r="W327" s="504">
        <v>279</v>
      </c>
      <c r="X327" s="506" t="s">
        <v>926</v>
      </c>
      <c r="Y327" s="508">
        <v>0</v>
      </c>
      <c r="Z327" s="403">
        <v>0</v>
      </c>
      <c r="AA327" s="407">
        <f t="shared" si="80"/>
        <v>0.98940407711376932</v>
      </c>
      <c r="AB327" s="411"/>
      <c r="AC327" s="446"/>
    </row>
    <row r="328" spans="1:29">
      <c r="A328" s="67">
        <v>276</v>
      </c>
      <c r="B328" s="74" t="s">
        <v>266</v>
      </c>
      <c r="C328" s="125" t="s">
        <v>366</v>
      </c>
      <c r="D328" s="387">
        <f t="shared" si="81"/>
        <v>0</v>
      </c>
      <c r="E328" s="104">
        <f t="shared" si="82"/>
        <v>4</v>
      </c>
      <c r="F328" s="83">
        <f t="shared" si="83"/>
        <v>548.31240000000003</v>
      </c>
      <c r="G328" s="83">
        <f t="shared" si="84"/>
        <v>0</v>
      </c>
      <c r="H328" s="483">
        <f t="shared" si="85"/>
        <v>0</v>
      </c>
      <c r="I328" s="83">
        <f>+'Costo adq'!C316*$I$1</f>
        <v>2436.944</v>
      </c>
      <c r="J328" s="83">
        <f t="shared" si="89"/>
        <v>0</v>
      </c>
      <c r="L328" s="54">
        <f>VLOOKUP(A328,'Precios oferta'!$A$30:$U$436,$B$5,FALSE)</f>
        <v>10446.075199999999</v>
      </c>
      <c r="M328" s="48">
        <f>VLOOKUP(A328,'Precios piso'!$A$30:$U$436,$B$5,FALSE)</f>
        <v>731.08320000000003</v>
      </c>
      <c r="N328" s="105">
        <f t="shared" si="86"/>
        <v>0.93001359974892772</v>
      </c>
      <c r="O328" s="131">
        <f t="shared" si="87"/>
        <v>643.35321599999997</v>
      </c>
      <c r="P328" s="388">
        <f t="shared" si="90"/>
        <v>0.93841196777905633</v>
      </c>
      <c r="Q328" s="131">
        <f t="shared" si="88"/>
        <v>584.86656000000005</v>
      </c>
      <c r="R328" s="105">
        <f t="shared" si="91"/>
        <v>0.94401087979914211</v>
      </c>
      <c r="S328" s="131">
        <f t="shared" si="78"/>
        <v>548.31240000000003</v>
      </c>
      <c r="T328" s="94">
        <f t="shared" si="79"/>
        <v>0.94751019981169582</v>
      </c>
      <c r="V328" s="82"/>
      <c r="W328" s="504">
        <v>280</v>
      </c>
      <c r="X328" s="506" t="s">
        <v>927</v>
      </c>
      <c r="Y328" s="508">
        <v>0</v>
      </c>
      <c r="Z328" s="403">
        <v>0</v>
      </c>
      <c r="AA328" s="407">
        <f t="shared" si="80"/>
        <v>0.9793432639288947</v>
      </c>
      <c r="AB328" s="411"/>
      <c r="AC328" s="446"/>
    </row>
    <row r="329" spans="1:29">
      <c r="A329" s="67">
        <v>277</v>
      </c>
      <c r="B329" s="74" t="s">
        <v>266</v>
      </c>
      <c r="C329" s="125" t="s">
        <v>365</v>
      </c>
      <c r="D329" s="387">
        <f t="shared" si="81"/>
        <v>0</v>
      </c>
      <c r="E329" s="104">
        <f t="shared" si="82"/>
        <v>4</v>
      </c>
      <c r="F329" s="83">
        <f t="shared" si="83"/>
        <v>1236.7764</v>
      </c>
      <c r="G329" s="83">
        <f t="shared" si="84"/>
        <v>0</v>
      </c>
      <c r="H329" s="483">
        <f t="shared" si="85"/>
        <v>0</v>
      </c>
      <c r="I329" s="83">
        <f>+'Costo adq'!C317*$I$1</f>
        <v>29259.72</v>
      </c>
      <c r="J329" s="83">
        <f t="shared" si="89"/>
        <v>0</v>
      </c>
      <c r="K329" s="358">
        <f t="shared" si="75"/>
        <v>0</v>
      </c>
      <c r="L329" s="54">
        <f>VLOOKUP(A329,'Precios oferta'!$A$30:$U$436,$B$5,FALSE)</f>
        <v>76655.548800000004</v>
      </c>
      <c r="M329" s="48">
        <f>VLOOKUP(A329,'Precios piso'!$A$30:$U$436,$B$5,FALSE)</f>
        <v>1649.0352</v>
      </c>
      <c r="N329" s="105">
        <f t="shared" si="86"/>
        <v>0.97848772560088959</v>
      </c>
      <c r="O329" s="131">
        <f t="shared" si="87"/>
        <v>1451.1509760000001</v>
      </c>
      <c r="P329" s="388">
        <f t="shared" si="90"/>
        <v>0.98106919852878283</v>
      </c>
      <c r="Q329" s="131">
        <f t="shared" si="88"/>
        <v>1319.2281600000001</v>
      </c>
      <c r="R329" s="105">
        <f t="shared" si="91"/>
        <v>0.98279018048071165</v>
      </c>
      <c r="S329" s="131">
        <f t="shared" si="78"/>
        <v>1236.7764</v>
      </c>
      <c r="T329" s="94">
        <f t="shared" si="79"/>
        <v>0.98386579420066722</v>
      </c>
      <c r="V329" s="82"/>
      <c r="W329" s="504">
        <v>281</v>
      </c>
      <c r="X329" s="506" t="s">
        <v>928</v>
      </c>
      <c r="Y329" s="508">
        <v>4</v>
      </c>
      <c r="Z329" s="403">
        <v>0</v>
      </c>
      <c r="AA329" s="407">
        <f t="shared" si="80"/>
        <v>0.79334720010400073</v>
      </c>
      <c r="AB329" s="411"/>
      <c r="AC329" s="446"/>
    </row>
    <row r="330" spans="1:29">
      <c r="A330" s="67">
        <v>278</v>
      </c>
      <c r="B330" s="74" t="s">
        <v>267</v>
      </c>
      <c r="C330" s="125" t="s">
        <v>366</v>
      </c>
      <c r="D330" s="387">
        <f t="shared" si="81"/>
        <v>0</v>
      </c>
      <c r="E330" s="104">
        <f t="shared" si="82"/>
        <v>4</v>
      </c>
      <c r="F330" s="83">
        <f t="shared" si="83"/>
        <v>764.68679999999995</v>
      </c>
      <c r="G330" s="83">
        <f t="shared" si="84"/>
        <v>0</v>
      </c>
      <c r="H330" s="483">
        <f t="shared" si="85"/>
        <v>0</v>
      </c>
      <c r="I330" s="83">
        <f>+'Costo adq'!C318*$I$1</f>
        <v>1393.32</v>
      </c>
      <c r="J330" s="83">
        <f t="shared" si="89"/>
        <v>0</v>
      </c>
      <c r="L330" s="54">
        <f>VLOOKUP(A330,'Precios oferta'!$A$30:$U$436,$B$5,FALSE)</f>
        <v>8381.7759999999998</v>
      </c>
      <c r="M330" s="48">
        <f>VLOOKUP(A330,'Precios piso'!$A$30:$U$436,$B$5,FALSE)</f>
        <v>1019.5824</v>
      </c>
      <c r="N330" s="105">
        <f t="shared" si="86"/>
        <v>0.87835723598435467</v>
      </c>
      <c r="O330" s="131">
        <f t="shared" si="87"/>
        <v>897.23251200000004</v>
      </c>
      <c r="P330" s="388">
        <f t="shared" si="90"/>
        <v>0.89295436766623204</v>
      </c>
      <c r="Q330" s="131">
        <f t="shared" si="88"/>
        <v>815.66592000000003</v>
      </c>
      <c r="R330" s="105">
        <f t="shared" si="91"/>
        <v>0.90268578878748373</v>
      </c>
      <c r="S330" s="131">
        <f t="shared" si="78"/>
        <v>764.68679999999995</v>
      </c>
      <c r="T330" s="94">
        <f t="shared" si="79"/>
        <v>0.90876792698826603</v>
      </c>
      <c r="V330" s="82"/>
      <c r="W330" s="504">
        <v>282</v>
      </c>
      <c r="X330" s="506" t="s">
        <v>929</v>
      </c>
      <c r="Y330" s="508">
        <v>0</v>
      </c>
      <c r="Z330" s="403">
        <v>0</v>
      </c>
      <c r="AA330" s="407">
        <f t="shared" si="80"/>
        <v>0.98260123637516439</v>
      </c>
      <c r="AB330" s="411"/>
      <c r="AC330" s="446"/>
    </row>
    <row r="331" spans="1:29">
      <c r="A331" s="67">
        <v>279</v>
      </c>
      <c r="B331" s="74" t="s">
        <v>267</v>
      </c>
      <c r="C331" s="125" t="s">
        <v>365</v>
      </c>
      <c r="D331" s="387">
        <f t="shared" si="81"/>
        <v>0</v>
      </c>
      <c r="E331" s="104">
        <f t="shared" si="82"/>
        <v>4</v>
      </c>
      <c r="F331" s="83">
        <f t="shared" si="83"/>
        <v>962.21040000000005</v>
      </c>
      <c r="G331" s="83">
        <f t="shared" si="84"/>
        <v>0</v>
      </c>
      <c r="H331" s="483">
        <f t="shared" si="85"/>
        <v>0</v>
      </c>
      <c r="I331" s="83">
        <f>+'Costo adq'!C319*$I$1</f>
        <v>50066.631999999998</v>
      </c>
      <c r="J331" s="83">
        <f t="shared" si="89"/>
        <v>0</v>
      </c>
      <c r="K331" s="358">
        <f t="shared" si="75"/>
        <v>0</v>
      </c>
      <c r="L331" s="54">
        <f>VLOOKUP(A331,'Precios oferta'!$A$30:$U$436,$B$5,FALSE)</f>
        <v>90809.494399999996</v>
      </c>
      <c r="M331" s="48">
        <f>VLOOKUP(A331,'Precios piso'!$A$30:$U$436,$B$5,FALSE)</f>
        <v>1282.9472000000001</v>
      </c>
      <c r="N331" s="105">
        <f t="shared" si="86"/>
        <v>0.98587210281835902</v>
      </c>
      <c r="O331" s="131">
        <f t="shared" si="87"/>
        <v>1128.9935359999999</v>
      </c>
      <c r="P331" s="388">
        <f t="shared" si="90"/>
        <v>0.98756745048015593</v>
      </c>
      <c r="Q331" s="131">
        <f t="shared" si="88"/>
        <v>1026.3577600000001</v>
      </c>
      <c r="R331" s="105">
        <f t="shared" si="91"/>
        <v>0.98869768225468724</v>
      </c>
      <c r="S331" s="131">
        <f t="shared" si="78"/>
        <v>962.21040000000005</v>
      </c>
      <c r="T331" s="94">
        <f t="shared" si="79"/>
        <v>0.98940407711376932</v>
      </c>
      <c r="V331" s="82"/>
      <c r="W331" s="504">
        <v>283</v>
      </c>
      <c r="X331" s="506" t="s">
        <v>930</v>
      </c>
      <c r="Y331" s="508">
        <v>0</v>
      </c>
      <c r="Z331" s="403">
        <v>0</v>
      </c>
      <c r="AA331" s="407">
        <f t="shared" si="80"/>
        <v>0.74008422289687592</v>
      </c>
      <c r="AB331" s="411"/>
      <c r="AC331" s="446"/>
    </row>
    <row r="332" spans="1:29">
      <c r="A332" s="67">
        <v>280</v>
      </c>
      <c r="B332" s="74" t="s">
        <v>268</v>
      </c>
      <c r="C332" s="125" t="s">
        <v>365</v>
      </c>
      <c r="D332" s="387">
        <f t="shared" si="81"/>
        <v>0</v>
      </c>
      <c r="E332" s="104">
        <f t="shared" si="82"/>
        <v>4</v>
      </c>
      <c r="F332" s="83">
        <f t="shared" si="83"/>
        <v>1645.7568000000001</v>
      </c>
      <c r="G332" s="83">
        <f t="shared" si="84"/>
        <v>0</v>
      </c>
      <c r="H332" s="483">
        <f t="shared" si="85"/>
        <v>0</v>
      </c>
      <c r="I332" s="83">
        <f>+'Costo adq'!C320*$I$1</f>
        <v>43602.720000000001</v>
      </c>
      <c r="J332" s="83">
        <f t="shared" si="89"/>
        <v>0</v>
      </c>
      <c r="K332" s="358">
        <f t="shared" si="75"/>
        <v>0</v>
      </c>
      <c r="L332" s="54">
        <f>VLOOKUP(A332,'Precios oferta'!$A$30:$U$436,$B$5,FALSE)</f>
        <v>79671.676800000001</v>
      </c>
      <c r="M332" s="48">
        <f>VLOOKUP(A332,'Precios piso'!$A$30:$U$436,$B$5,FALSE)</f>
        <v>2194.3424</v>
      </c>
      <c r="N332" s="105">
        <f t="shared" si="86"/>
        <v>0.97245768523852627</v>
      </c>
      <c r="O332" s="131">
        <f t="shared" si="87"/>
        <v>1931.0213120000001</v>
      </c>
      <c r="P332" s="388">
        <f t="shared" si="90"/>
        <v>0.97576276300990317</v>
      </c>
      <c r="Q332" s="131">
        <f t="shared" si="88"/>
        <v>1755.4739199999999</v>
      </c>
      <c r="R332" s="105">
        <f t="shared" si="91"/>
        <v>0.97796614819082106</v>
      </c>
      <c r="S332" s="131">
        <f t="shared" si="78"/>
        <v>1645.7568000000001</v>
      </c>
      <c r="T332" s="94">
        <f t="shared" si="79"/>
        <v>0.9793432639288947</v>
      </c>
      <c r="V332" s="82"/>
      <c r="W332" s="504">
        <v>284</v>
      </c>
      <c r="X332" s="506" t="s">
        <v>931</v>
      </c>
      <c r="Y332" s="508">
        <v>0</v>
      </c>
      <c r="Z332" s="403">
        <v>0</v>
      </c>
      <c r="AA332" s="407">
        <f t="shared" si="80"/>
        <v>0.98330674125029616</v>
      </c>
      <c r="AB332" s="411"/>
      <c r="AC332" s="446"/>
    </row>
    <row r="333" spans="1:29">
      <c r="A333" s="67">
        <v>281</v>
      </c>
      <c r="B333" s="74" t="s">
        <v>269</v>
      </c>
      <c r="C333" s="125" t="s">
        <v>366</v>
      </c>
      <c r="D333" s="387">
        <f t="shared" si="81"/>
        <v>4</v>
      </c>
      <c r="E333" s="104">
        <f t="shared" si="82"/>
        <v>4</v>
      </c>
      <c r="F333" s="83">
        <f t="shared" si="83"/>
        <v>6948.5688000000009</v>
      </c>
      <c r="G333" s="83">
        <f t="shared" si="84"/>
        <v>111177.10080000001</v>
      </c>
      <c r="H333" s="483">
        <f t="shared" si="85"/>
        <v>0</v>
      </c>
      <c r="I333" s="83">
        <f>+'Costo adq'!C321*$I$1</f>
        <v>8665.9040000000005</v>
      </c>
      <c r="J333" s="83">
        <f t="shared" si="89"/>
        <v>138654.46400000001</v>
      </c>
      <c r="L333" s="54">
        <f>VLOOKUP(A333,'Precios oferta'!$A$30:$U$436,$B$5,FALSE)</f>
        <v>33624.3632</v>
      </c>
      <c r="M333" s="48">
        <f>VLOOKUP(A333,'Precios piso'!$A$30:$U$436,$B$5,FALSE)</f>
        <v>9264.7584000000006</v>
      </c>
      <c r="N333" s="105">
        <f t="shared" si="86"/>
        <v>0.72446293347200097</v>
      </c>
      <c r="O333" s="131">
        <f t="shared" si="87"/>
        <v>8152.9873920000009</v>
      </c>
      <c r="P333" s="388">
        <f t="shared" si="90"/>
        <v>0.75752738145536092</v>
      </c>
      <c r="Q333" s="131">
        <f t="shared" si="88"/>
        <v>7411.8067200000005</v>
      </c>
      <c r="R333" s="105">
        <f t="shared" si="91"/>
        <v>0.77957034677760084</v>
      </c>
      <c r="S333" s="131">
        <f t="shared" si="78"/>
        <v>6948.5688000000009</v>
      </c>
      <c r="T333" s="94">
        <f t="shared" si="79"/>
        <v>0.79334720010400073</v>
      </c>
      <c r="V333" s="82"/>
      <c r="W333" s="504">
        <v>285</v>
      </c>
      <c r="X333" s="506" t="s">
        <v>932</v>
      </c>
      <c r="Y333" s="508">
        <v>0</v>
      </c>
      <c r="Z333" s="403">
        <v>0</v>
      </c>
      <c r="AA333" s="407">
        <f t="shared" si="80"/>
        <v>0.70232861468860597</v>
      </c>
      <c r="AB333" s="411"/>
      <c r="AC333" s="446"/>
    </row>
    <row r="334" spans="1:29">
      <c r="A334" s="67">
        <v>282</v>
      </c>
      <c r="B334" s="74" t="s">
        <v>269</v>
      </c>
      <c r="C334" s="125" t="s">
        <v>365</v>
      </c>
      <c r="D334" s="387">
        <f t="shared" si="81"/>
        <v>0</v>
      </c>
      <c r="E334" s="104">
        <f t="shared" si="82"/>
        <v>4</v>
      </c>
      <c r="F334" s="83">
        <f t="shared" si="83"/>
        <v>8156.6592000000001</v>
      </c>
      <c r="G334" s="83">
        <f t="shared" si="84"/>
        <v>0</v>
      </c>
      <c r="H334" s="483">
        <f t="shared" si="85"/>
        <v>0</v>
      </c>
      <c r="I334" s="83">
        <f>+'Costo adq'!C322*$I$1</f>
        <v>311905.88319999998</v>
      </c>
      <c r="J334" s="83">
        <f t="shared" si="89"/>
        <v>0</v>
      </c>
      <c r="K334" s="358">
        <f t="shared" si="75"/>
        <v>0</v>
      </c>
      <c r="L334" s="54">
        <f>VLOOKUP(A334,'Precios oferta'!$A$30:$U$436,$B$5,FALSE)</f>
        <v>468806.82880000002</v>
      </c>
      <c r="M334" s="48">
        <f>VLOOKUP(A334,'Precios piso'!$A$30:$U$436,$B$5,FALSE)</f>
        <v>10875.545599999999</v>
      </c>
      <c r="N334" s="105">
        <f t="shared" si="86"/>
        <v>0.97680164850021911</v>
      </c>
      <c r="O334" s="131">
        <f t="shared" si="87"/>
        <v>9570.4801279999992</v>
      </c>
      <c r="P334" s="388">
        <f t="shared" si="90"/>
        <v>0.97958545068019287</v>
      </c>
      <c r="Q334" s="131">
        <f t="shared" si="88"/>
        <v>8700.4364800000003</v>
      </c>
      <c r="R334" s="105">
        <f t="shared" si="91"/>
        <v>0.98144131880017527</v>
      </c>
      <c r="S334" s="131">
        <f t="shared" si="78"/>
        <v>8156.6592000000001</v>
      </c>
      <c r="T334" s="94">
        <f t="shared" si="79"/>
        <v>0.98260123637516439</v>
      </c>
      <c r="V334" s="82"/>
      <c r="W334" s="504">
        <v>286</v>
      </c>
      <c r="X334" s="506" t="s">
        <v>933</v>
      </c>
      <c r="Y334" s="508">
        <v>0</v>
      </c>
      <c r="Z334" s="403">
        <v>0</v>
      </c>
      <c r="AA334" s="407">
        <f t="shared" si="80"/>
        <v>0.98271005360410524</v>
      </c>
      <c r="AB334" s="411"/>
      <c r="AC334" s="446"/>
    </row>
    <row r="335" spans="1:29">
      <c r="A335" s="67">
        <v>283</v>
      </c>
      <c r="B335" s="74" t="s">
        <v>270</v>
      </c>
      <c r="C335" s="125" t="s">
        <v>366</v>
      </c>
      <c r="D335" s="387">
        <f t="shared" si="81"/>
        <v>0</v>
      </c>
      <c r="E335" s="104">
        <f t="shared" si="82"/>
        <v>4</v>
      </c>
      <c r="F335" s="83">
        <f t="shared" si="83"/>
        <v>8700.8736000000008</v>
      </c>
      <c r="G335" s="83">
        <f t="shared" si="84"/>
        <v>0</v>
      </c>
      <c r="H335" s="483">
        <f t="shared" si="85"/>
        <v>0</v>
      </c>
      <c r="I335" s="83">
        <f>+'Costo adq'!C323*$I$1</f>
        <v>9152.2000000000007</v>
      </c>
      <c r="J335" s="83">
        <f t="shared" si="89"/>
        <v>0</v>
      </c>
      <c r="L335" s="54">
        <f>VLOOKUP(A335,'Precios oferta'!$A$30:$U$436,$B$5,FALSE)</f>
        <v>33475.742400000003</v>
      </c>
      <c r="M335" s="48">
        <f>VLOOKUP(A335,'Precios piso'!$A$30:$U$436,$B$5,FALSE)</f>
        <v>11601.1648</v>
      </c>
      <c r="N335" s="105">
        <f t="shared" si="86"/>
        <v>0.65344563052916793</v>
      </c>
      <c r="O335" s="131">
        <f t="shared" si="87"/>
        <v>10209.025024</v>
      </c>
      <c r="P335" s="388">
        <f t="shared" si="90"/>
        <v>0.69503215486566772</v>
      </c>
      <c r="Q335" s="131">
        <f t="shared" si="88"/>
        <v>9280.9318400000011</v>
      </c>
      <c r="R335" s="105">
        <f t="shared" si="91"/>
        <v>0.72275650442333428</v>
      </c>
      <c r="S335" s="131">
        <f t="shared" si="78"/>
        <v>8700.8736000000008</v>
      </c>
      <c r="T335" s="94">
        <f t="shared" si="79"/>
        <v>0.74008422289687592</v>
      </c>
      <c r="V335" s="82"/>
      <c r="W335" s="504">
        <v>287</v>
      </c>
      <c r="X335" s="506" t="s">
        <v>934</v>
      </c>
      <c r="Y335" s="508">
        <v>0</v>
      </c>
      <c r="Z335" s="403">
        <v>0</v>
      </c>
      <c r="AA335" s="407">
        <f t="shared" si="80"/>
        <v>0.71495789995047054</v>
      </c>
      <c r="AB335" s="411"/>
      <c r="AC335" s="446"/>
    </row>
    <row r="336" spans="1:29">
      <c r="A336" s="67">
        <v>284</v>
      </c>
      <c r="B336" s="74" t="s">
        <v>270</v>
      </c>
      <c r="C336" s="125" t="s">
        <v>365</v>
      </c>
      <c r="D336" s="387">
        <f t="shared" si="81"/>
        <v>0</v>
      </c>
      <c r="E336" s="104">
        <f t="shared" si="82"/>
        <v>4</v>
      </c>
      <c r="F336" s="83">
        <f t="shared" si="83"/>
        <v>8700.8736000000008</v>
      </c>
      <c r="G336" s="83">
        <f t="shared" si="84"/>
        <v>0</v>
      </c>
      <c r="H336" s="483">
        <f t="shared" si="85"/>
        <v>0</v>
      </c>
      <c r="I336" s="83">
        <f>+'Costo adq'!C324*$I$1</f>
        <v>329479.2</v>
      </c>
      <c r="J336" s="83">
        <f t="shared" si="89"/>
        <v>0</v>
      </c>
      <c r="K336" s="358">
        <f t="shared" si="75"/>
        <v>0</v>
      </c>
      <c r="L336" s="54">
        <f>VLOOKUP(A336,'Precios oferta'!$A$30:$U$436,$B$5,FALSE)</f>
        <v>521220.79519999999</v>
      </c>
      <c r="M336" s="48">
        <f>VLOOKUP(A336,'Precios piso'!$A$30:$U$436,$B$5,FALSE)</f>
        <v>11601.1648</v>
      </c>
      <c r="N336" s="105">
        <f t="shared" si="86"/>
        <v>0.97774232166706154</v>
      </c>
      <c r="O336" s="131">
        <f t="shared" si="87"/>
        <v>10209.025024</v>
      </c>
      <c r="P336" s="388">
        <f t="shared" si="90"/>
        <v>0.98041324306701416</v>
      </c>
      <c r="Q336" s="131">
        <f t="shared" si="88"/>
        <v>9280.9318400000011</v>
      </c>
      <c r="R336" s="105">
        <f t="shared" si="91"/>
        <v>0.98219385733364928</v>
      </c>
      <c r="S336" s="131">
        <f t="shared" si="78"/>
        <v>8700.8736000000008</v>
      </c>
      <c r="T336" s="94">
        <f t="shared" si="79"/>
        <v>0.98330674125029616</v>
      </c>
      <c r="V336" s="82"/>
      <c r="W336" s="504">
        <v>288</v>
      </c>
      <c r="X336" s="506" t="s">
        <v>935</v>
      </c>
      <c r="Y336" s="508">
        <v>0</v>
      </c>
      <c r="Z336" s="403">
        <v>0</v>
      </c>
      <c r="AA336" s="407">
        <f t="shared" si="80"/>
        <v>0.98289291738044804</v>
      </c>
      <c r="AB336" s="411"/>
      <c r="AC336" s="446"/>
    </row>
    <row r="337" spans="1:29">
      <c r="A337" s="67">
        <v>285</v>
      </c>
      <c r="B337" s="74" t="s">
        <v>271</v>
      </c>
      <c r="C337" s="125" t="s">
        <v>366</v>
      </c>
      <c r="D337" s="387">
        <f t="shared" si="81"/>
        <v>0</v>
      </c>
      <c r="E337" s="104">
        <f t="shared" si="82"/>
        <v>4</v>
      </c>
      <c r="F337" s="83">
        <f t="shared" si="83"/>
        <v>17832.037199999999</v>
      </c>
      <c r="G337" s="83">
        <f t="shared" si="84"/>
        <v>0</v>
      </c>
      <c r="H337" s="483">
        <f t="shared" si="85"/>
        <v>0</v>
      </c>
      <c r="I337" s="83">
        <f>+'Costo adq'!C325*$I$1</f>
        <v>14414.031999999999</v>
      </c>
      <c r="J337" s="83">
        <f t="shared" si="89"/>
        <v>0</v>
      </c>
      <c r="L337" s="54">
        <f>VLOOKUP(A337,'Precios oferta'!$A$30:$U$436,$B$5,FALSE)</f>
        <v>59905.110399999998</v>
      </c>
      <c r="M337" s="48">
        <f>VLOOKUP(A337,'Precios piso'!$A$30:$U$436,$B$5,FALSE)</f>
        <v>23776.049599999998</v>
      </c>
      <c r="N337" s="105">
        <f t="shared" si="86"/>
        <v>0.60310481958480788</v>
      </c>
      <c r="O337" s="131">
        <f t="shared" si="87"/>
        <v>20922.923648</v>
      </c>
      <c r="P337" s="388">
        <f t="shared" si="90"/>
        <v>0.65073224123463103</v>
      </c>
      <c r="Q337" s="131">
        <f t="shared" si="88"/>
        <v>19020.839679999997</v>
      </c>
      <c r="R337" s="105">
        <f t="shared" si="91"/>
        <v>0.68248385566784631</v>
      </c>
      <c r="S337" s="131">
        <f t="shared" si="78"/>
        <v>17832.037199999999</v>
      </c>
      <c r="T337" s="94">
        <f t="shared" si="79"/>
        <v>0.70232861468860597</v>
      </c>
      <c r="V337" s="82"/>
      <c r="W337" s="504">
        <v>289</v>
      </c>
      <c r="X337" s="506" t="s">
        <v>936</v>
      </c>
      <c r="Y337" s="508">
        <v>0</v>
      </c>
      <c r="Z337" s="403">
        <v>0</v>
      </c>
      <c r="AA337" s="407">
        <f t="shared" si="80"/>
        <v>0.83952733176979977</v>
      </c>
      <c r="AB337" s="411"/>
      <c r="AC337" s="446"/>
    </row>
    <row r="338" spans="1:29">
      <c r="A338" s="67">
        <v>286</v>
      </c>
      <c r="B338" s="74" t="s">
        <v>271</v>
      </c>
      <c r="C338" s="125" t="s">
        <v>365</v>
      </c>
      <c r="D338" s="387">
        <f t="shared" si="81"/>
        <v>0</v>
      </c>
      <c r="E338" s="104">
        <f t="shared" si="82"/>
        <v>4</v>
      </c>
      <c r="F338" s="83">
        <f t="shared" si="83"/>
        <v>17832.037199999999</v>
      </c>
      <c r="G338" s="83">
        <f t="shared" si="84"/>
        <v>0</v>
      </c>
      <c r="H338" s="483">
        <f t="shared" si="85"/>
        <v>0</v>
      </c>
      <c r="I338" s="83">
        <f>+'Costo adq'!C326*$I$1</f>
        <v>518872.36800000002</v>
      </c>
      <c r="J338" s="83">
        <f t="shared" si="89"/>
        <v>0</v>
      </c>
      <c r="K338" s="358">
        <f t="shared" si="75"/>
        <v>0</v>
      </c>
      <c r="L338" s="54">
        <f>VLOOKUP(A338,'Precios oferta'!$A$30:$U$436,$B$5,FALSE)</f>
        <v>1031352.9488</v>
      </c>
      <c r="M338" s="48">
        <f>VLOOKUP(A338,'Precios piso'!$A$30:$U$436,$B$5,FALSE)</f>
        <v>23776.049599999998</v>
      </c>
      <c r="N338" s="105">
        <f t="shared" si="86"/>
        <v>0.97694673813880695</v>
      </c>
      <c r="O338" s="131">
        <f t="shared" si="87"/>
        <v>20922.923648</v>
      </c>
      <c r="P338" s="388">
        <f t="shared" si="90"/>
        <v>0.97971312956215018</v>
      </c>
      <c r="Q338" s="131">
        <f t="shared" si="88"/>
        <v>19020.839679999997</v>
      </c>
      <c r="R338" s="105">
        <f t="shared" si="91"/>
        <v>0.98155739051104562</v>
      </c>
      <c r="S338" s="131">
        <f t="shared" si="78"/>
        <v>17832.037199999999</v>
      </c>
      <c r="T338" s="94">
        <f t="shared" si="79"/>
        <v>0.98271005360410524</v>
      </c>
      <c r="V338" s="82"/>
      <c r="W338" s="504">
        <v>290</v>
      </c>
      <c r="X338" s="506" t="s">
        <v>937</v>
      </c>
      <c r="Y338" s="508">
        <v>0</v>
      </c>
      <c r="Z338" s="403">
        <v>0</v>
      </c>
      <c r="AA338" s="407">
        <f t="shared" si="80"/>
        <v>0.98276914136277782</v>
      </c>
      <c r="AB338" s="411"/>
      <c r="AC338" s="446"/>
    </row>
    <row r="339" spans="1:29">
      <c r="A339" s="67">
        <v>287</v>
      </c>
      <c r="B339" s="74" t="s">
        <v>272</v>
      </c>
      <c r="C339" s="125" t="s">
        <v>366</v>
      </c>
      <c r="D339" s="387">
        <f t="shared" si="81"/>
        <v>0</v>
      </c>
      <c r="E339" s="104">
        <f t="shared" si="82"/>
        <v>4</v>
      </c>
      <c r="F339" s="83">
        <f t="shared" si="83"/>
        <v>16980.4728</v>
      </c>
      <c r="G339" s="83">
        <f t="shared" si="84"/>
        <v>0</v>
      </c>
      <c r="H339" s="483">
        <f t="shared" si="85"/>
        <v>0</v>
      </c>
      <c r="I339" s="83">
        <f>+'Costo adq'!C327*$I$1</f>
        <v>11922.448</v>
      </c>
      <c r="J339" s="83">
        <f t="shared" si="89"/>
        <v>0</v>
      </c>
      <c r="L339" s="54">
        <f>VLOOKUP(A339,'Precios oferta'!$A$30:$U$436,$B$5,FALSE)</f>
        <v>59571.806400000001</v>
      </c>
      <c r="M339" s="48">
        <f>VLOOKUP(A339,'Precios piso'!$A$30:$U$436,$B$5,FALSE)</f>
        <v>22640.630399999998</v>
      </c>
      <c r="N339" s="105">
        <f t="shared" si="86"/>
        <v>0.61994386660062739</v>
      </c>
      <c r="O339" s="131">
        <f t="shared" si="87"/>
        <v>19923.754751999997</v>
      </c>
      <c r="P339" s="388">
        <f t="shared" si="90"/>
        <v>0.66555060260855214</v>
      </c>
      <c r="Q339" s="131">
        <f t="shared" si="88"/>
        <v>18112.50432</v>
      </c>
      <c r="R339" s="105">
        <f t="shared" si="91"/>
        <v>0.69595509328050187</v>
      </c>
      <c r="S339" s="131">
        <f t="shared" si="78"/>
        <v>16980.4728</v>
      </c>
      <c r="T339" s="94">
        <f t="shared" si="79"/>
        <v>0.71495789995047054</v>
      </c>
      <c r="V339" s="82"/>
      <c r="W339" s="504">
        <v>291</v>
      </c>
      <c r="X339" s="506" t="s">
        <v>938</v>
      </c>
      <c r="Y339" s="508">
        <v>0</v>
      </c>
      <c r="Z339" s="403">
        <v>0</v>
      </c>
      <c r="AA339" s="407">
        <f t="shared" si="80"/>
        <v>0.72652041279937696</v>
      </c>
      <c r="AB339" s="411"/>
      <c r="AC339" s="446"/>
    </row>
    <row r="340" spans="1:29">
      <c r="A340" s="67">
        <v>288</v>
      </c>
      <c r="B340" s="74" t="s">
        <v>272</v>
      </c>
      <c r="C340" s="125" t="s">
        <v>365</v>
      </c>
      <c r="D340" s="387">
        <f t="shared" si="81"/>
        <v>0</v>
      </c>
      <c r="E340" s="104">
        <f t="shared" si="82"/>
        <v>4</v>
      </c>
      <c r="F340" s="83">
        <f t="shared" si="83"/>
        <v>16980.4728</v>
      </c>
      <c r="G340" s="83">
        <f t="shared" si="84"/>
        <v>0</v>
      </c>
      <c r="H340" s="483">
        <f t="shared" si="85"/>
        <v>0</v>
      </c>
      <c r="I340" s="83">
        <f>+'Costo adq'!C328*$I$1</f>
        <v>429142.56</v>
      </c>
      <c r="J340" s="83">
        <f t="shared" si="89"/>
        <v>0</v>
      </c>
      <c r="K340" s="358">
        <f t="shared" si="75"/>
        <v>0</v>
      </c>
      <c r="L340" s="54">
        <f>VLOOKUP(A340,'Precios oferta'!$A$30:$U$436,$B$5,FALSE)</f>
        <v>992598.98239999998</v>
      </c>
      <c r="M340" s="48">
        <f>VLOOKUP(A340,'Precios piso'!$A$30:$U$436,$B$5,FALSE)</f>
        <v>22640.630399999998</v>
      </c>
      <c r="N340" s="105">
        <f t="shared" si="86"/>
        <v>0.97719055650726405</v>
      </c>
      <c r="O340" s="131">
        <f t="shared" si="87"/>
        <v>19923.754751999997</v>
      </c>
      <c r="P340" s="388">
        <f t="shared" si="90"/>
        <v>0.97992768972639233</v>
      </c>
      <c r="Q340" s="131">
        <f t="shared" si="88"/>
        <v>18112.50432</v>
      </c>
      <c r="R340" s="105">
        <f t="shared" si="91"/>
        <v>0.98175244520581129</v>
      </c>
      <c r="S340" s="131">
        <f t="shared" si="78"/>
        <v>16980.4728</v>
      </c>
      <c r="T340" s="94">
        <f t="shared" si="79"/>
        <v>0.98289291738044804</v>
      </c>
      <c r="V340" s="82"/>
      <c r="W340" s="504">
        <v>292</v>
      </c>
      <c r="X340" s="506" t="s">
        <v>939</v>
      </c>
      <c r="Y340" s="508">
        <v>0</v>
      </c>
      <c r="Z340" s="403">
        <v>0</v>
      </c>
      <c r="AA340" s="407">
        <f t="shared" si="80"/>
        <v>0.981850565998725</v>
      </c>
      <c r="AB340" s="411"/>
      <c r="AC340" s="446"/>
    </row>
    <row r="341" spans="1:29">
      <c r="A341" s="67">
        <v>289</v>
      </c>
      <c r="B341" s="74" t="s">
        <v>273</v>
      </c>
      <c r="C341" s="125" t="s">
        <v>366</v>
      </c>
      <c r="D341" s="387">
        <f t="shared" si="81"/>
        <v>0</v>
      </c>
      <c r="E341" s="104">
        <f t="shared" si="82"/>
        <v>4</v>
      </c>
      <c r="F341" s="83">
        <f t="shared" si="83"/>
        <v>1944.0911999999998</v>
      </c>
      <c r="G341" s="83">
        <f t="shared" si="84"/>
        <v>0</v>
      </c>
      <c r="H341" s="483">
        <f t="shared" si="85"/>
        <v>0</v>
      </c>
      <c r="I341" s="83">
        <f>+'Costo adq'!C329*$I$1</f>
        <v>1824.9759999999999</v>
      </c>
      <c r="J341" s="83">
        <f t="shared" si="89"/>
        <v>0</v>
      </c>
      <c r="L341" s="54">
        <f>VLOOKUP(A341,'Precios oferta'!$A$30:$U$436,$B$5,FALSE)</f>
        <v>12114.7808</v>
      </c>
      <c r="M341" s="48">
        <f>VLOOKUP(A341,'Precios piso'!$A$30:$U$436,$B$5,FALSE)</f>
        <v>2592.1215999999999</v>
      </c>
      <c r="N341" s="105">
        <f t="shared" si="86"/>
        <v>0.78603644235973302</v>
      </c>
      <c r="O341" s="131">
        <f t="shared" si="87"/>
        <v>2281.067008</v>
      </c>
      <c r="P341" s="388">
        <f t="shared" si="90"/>
        <v>0.81171206927656503</v>
      </c>
      <c r="Q341" s="131">
        <f t="shared" si="88"/>
        <v>2073.6972799999999</v>
      </c>
      <c r="R341" s="105">
        <f t="shared" si="91"/>
        <v>0.82882915388778644</v>
      </c>
      <c r="S341" s="131">
        <f t="shared" si="78"/>
        <v>1944.0911999999998</v>
      </c>
      <c r="T341" s="94">
        <f t="shared" si="79"/>
        <v>0.83952733176979977</v>
      </c>
      <c r="V341" s="82"/>
      <c r="W341" s="504">
        <v>293</v>
      </c>
      <c r="X341" s="506" t="s">
        <v>940</v>
      </c>
      <c r="Y341" s="508">
        <v>0</v>
      </c>
      <c r="Z341" s="403">
        <v>0</v>
      </c>
      <c r="AA341" s="407">
        <f t="shared" si="80"/>
        <v>0.87939313445034739</v>
      </c>
      <c r="AB341" s="411"/>
      <c r="AC341" s="446"/>
    </row>
    <row r="342" spans="1:29">
      <c r="A342" s="67">
        <v>290</v>
      </c>
      <c r="B342" s="74" t="s">
        <v>273</v>
      </c>
      <c r="C342" s="125" t="s">
        <v>365</v>
      </c>
      <c r="D342" s="387">
        <f t="shared" si="81"/>
        <v>0</v>
      </c>
      <c r="E342" s="104">
        <f t="shared" si="82"/>
        <v>4</v>
      </c>
      <c r="F342" s="83">
        <f t="shared" si="83"/>
        <v>1944.0911999999998</v>
      </c>
      <c r="G342" s="83">
        <f t="shared" si="84"/>
        <v>0</v>
      </c>
      <c r="H342" s="483">
        <f t="shared" si="85"/>
        <v>0</v>
      </c>
      <c r="I342" s="83">
        <f>+'Costo adq'!C330*$I$1</f>
        <v>65458.720000000001</v>
      </c>
      <c r="J342" s="83">
        <f t="shared" si="89"/>
        <v>0</v>
      </c>
      <c r="K342" s="358">
        <f t="shared" si="75"/>
        <v>0</v>
      </c>
      <c r="L342" s="54">
        <f>VLOOKUP(A342,'Precios oferta'!$A$30:$U$436,$B$5,FALSE)</f>
        <v>112826.136</v>
      </c>
      <c r="M342" s="48">
        <f>VLOOKUP(A342,'Precios piso'!$A$30:$U$436,$B$5,FALSE)</f>
        <v>2592.1215999999999</v>
      </c>
      <c r="N342" s="105">
        <f t="shared" si="86"/>
        <v>0.97702552181703717</v>
      </c>
      <c r="O342" s="131">
        <f t="shared" si="87"/>
        <v>2281.067008</v>
      </c>
      <c r="P342" s="388">
        <f t="shared" si="90"/>
        <v>0.97978245919899265</v>
      </c>
      <c r="Q342" s="131">
        <f t="shared" si="88"/>
        <v>2073.6972799999999</v>
      </c>
      <c r="R342" s="105">
        <f t="shared" si="91"/>
        <v>0.98162041745362971</v>
      </c>
      <c r="S342" s="131">
        <f t="shared" si="78"/>
        <v>1944.0911999999998</v>
      </c>
      <c r="T342" s="94">
        <f t="shared" si="79"/>
        <v>0.98276914136277782</v>
      </c>
      <c r="V342" s="82"/>
      <c r="W342" s="504">
        <v>294</v>
      </c>
      <c r="X342" s="506" t="s">
        <v>941</v>
      </c>
      <c r="Y342" s="508">
        <v>0</v>
      </c>
      <c r="Z342" s="403">
        <v>0</v>
      </c>
      <c r="AA342" s="407">
        <f t="shared" si="80"/>
        <v>0.98729263452675697</v>
      </c>
      <c r="AB342" s="411"/>
      <c r="AC342" s="446"/>
    </row>
    <row r="343" spans="1:29">
      <c r="A343" s="67">
        <v>291</v>
      </c>
      <c r="B343" s="74" t="s">
        <v>274</v>
      </c>
      <c r="C343" s="125" t="s">
        <v>366</v>
      </c>
      <c r="D343" s="387">
        <f t="shared" si="81"/>
        <v>0</v>
      </c>
      <c r="E343" s="104">
        <f t="shared" si="82"/>
        <v>4</v>
      </c>
      <c r="F343" s="83">
        <f t="shared" si="83"/>
        <v>4604.5128000000004</v>
      </c>
      <c r="G343" s="83">
        <f t="shared" si="84"/>
        <v>0</v>
      </c>
      <c r="H343" s="483">
        <f t="shared" si="85"/>
        <v>0</v>
      </c>
      <c r="I343" s="83">
        <f>+'Costo adq'!C331*$I$1</f>
        <v>6403.808</v>
      </c>
      <c r="J343" s="83">
        <f t="shared" si="89"/>
        <v>0</v>
      </c>
      <c r="L343" s="54">
        <f>VLOOKUP(A343,'Precios oferta'!$A$30:$U$436,$B$5,FALSE)</f>
        <v>16836.7696</v>
      </c>
      <c r="M343" s="48">
        <f>VLOOKUP(A343,'Precios piso'!$A$30:$U$436,$B$5,FALSE)</f>
        <v>6139.3504000000003</v>
      </c>
      <c r="N343" s="105">
        <f t="shared" si="86"/>
        <v>0.63536055039916917</v>
      </c>
      <c r="O343" s="131">
        <f t="shared" si="87"/>
        <v>5402.6283520000006</v>
      </c>
      <c r="P343" s="388">
        <f t="shared" si="90"/>
        <v>0.67911728435126884</v>
      </c>
      <c r="Q343" s="131">
        <f t="shared" si="88"/>
        <v>4911.4803200000006</v>
      </c>
      <c r="R343" s="105">
        <f t="shared" si="91"/>
        <v>0.70828844031933524</v>
      </c>
      <c r="S343" s="131">
        <f t="shared" si="78"/>
        <v>4604.5128000000004</v>
      </c>
      <c r="T343" s="94">
        <f t="shared" si="79"/>
        <v>0.72652041279937696</v>
      </c>
      <c r="V343" s="82"/>
      <c r="W343" s="504">
        <v>295</v>
      </c>
      <c r="X343" s="506" t="s">
        <v>942</v>
      </c>
      <c r="Y343" s="508">
        <v>0</v>
      </c>
      <c r="Z343" s="403">
        <v>0</v>
      </c>
      <c r="AA343" s="407">
        <f t="shared" si="80"/>
        <v>0.84066314493794236</v>
      </c>
      <c r="AB343" s="411"/>
      <c r="AC343" s="446"/>
    </row>
    <row r="344" spans="1:29">
      <c r="A344" s="67">
        <v>292</v>
      </c>
      <c r="B344" s="74" t="s">
        <v>274</v>
      </c>
      <c r="C344" s="125" t="s">
        <v>365</v>
      </c>
      <c r="D344" s="387">
        <f t="shared" si="81"/>
        <v>0</v>
      </c>
      <c r="E344" s="104">
        <f t="shared" si="82"/>
        <v>4</v>
      </c>
      <c r="F344" s="83">
        <f t="shared" si="83"/>
        <v>4604.5128000000004</v>
      </c>
      <c r="G344" s="83">
        <f t="shared" si="84"/>
        <v>0</v>
      </c>
      <c r="H344" s="483">
        <f t="shared" si="85"/>
        <v>0</v>
      </c>
      <c r="I344" s="481">
        <f>+'Costo adq'!C332*$I$1</f>
        <v>230471.52</v>
      </c>
      <c r="J344" s="83">
        <f t="shared" si="89"/>
        <v>0</v>
      </c>
      <c r="K344" s="358">
        <f t="shared" si="75"/>
        <v>0</v>
      </c>
      <c r="L344" s="54">
        <f>VLOOKUP(A344,'Precios oferta'!$A$30:$U$436,$B$5,FALSE)</f>
        <v>253700.07680000001</v>
      </c>
      <c r="M344" s="48">
        <f>VLOOKUP(A344,'Precios piso'!$A$30:$U$436,$B$5,FALSE)</f>
        <v>6139.3504000000003</v>
      </c>
      <c r="N344" s="105">
        <f t="shared" si="86"/>
        <v>0.97580075466496663</v>
      </c>
      <c r="O344" s="131">
        <f t="shared" si="87"/>
        <v>5402.6283520000006</v>
      </c>
      <c r="P344" s="388">
        <f t="shared" si="90"/>
        <v>0.97870466410517065</v>
      </c>
      <c r="Q344" s="131">
        <f t="shared" si="88"/>
        <v>4911.4803200000006</v>
      </c>
      <c r="R344" s="105">
        <f t="shared" si="91"/>
        <v>0.98064060373197337</v>
      </c>
      <c r="S344" s="131">
        <f t="shared" si="78"/>
        <v>4604.5128000000004</v>
      </c>
      <c r="T344" s="94">
        <f t="shared" si="79"/>
        <v>0.981850565998725</v>
      </c>
      <c r="V344" s="82"/>
      <c r="W344" s="504">
        <v>296</v>
      </c>
      <c r="X344" s="506" t="s">
        <v>943</v>
      </c>
      <c r="Y344" s="508">
        <v>0</v>
      </c>
      <c r="Z344" s="403">
        <v>0</v>
      </c>
      <c r="AA344" s="407">
        <f t="shared" si="80"/>
        <v>0.98087579934692259</v>
      </c>
      <c r="AB344" s="411"/>
      <c r="AC344" s="446"/>
    </row>
    <row r="345" spans="1:29">
      <c r="A345" s="67">
        <v>293</v>
      </c>
      <c r="B345" s="74" t="s">
        <v>275</v>
      </c>
      <c r="C345" s="125" t="s">
        <v>366</v>
      </c>
      <c r="D345" s="387">
        <f t="shared" si="81"/>
        <v>0</v>
      </c>
      <c r="E345" s="104">
        <f t="shared" si="82"/>
        <v>4</v>
      </c>
      <c r="F345" s="83">
        <f t="shared" si="83"/>
        <v>7095.2772000000004</v>
      </c>
      <c r="G345" s="83">
        <f t="shared" si="84"/>
        <v>0</v>
      </c>
      <c r="H345" s="483">
        <f t="shared" si="85"/>
        <v>0</v>
      </c>
      <c r="I345" s="83">
        <f>+'Costo adq'!C333*$I$1</f>
        <v>7890.0159999999996</v>
      </c>
      <c r="J345" s="83">
        <f t="shared" si="89"/>
        <v>0</v>
      </c>
      <c r="L345" s="54">
        <f>VLOOKUP(A345,'Precios oferta'!$A$30:$U$436,$B$5,FALSE)</f>
        <v>58829.7952</v>
      </c>
      <c r="M345" s="48">
        <f>VLOOKUP(A345,'Precios piso'!$A$30:$U$436,$B$5,FALSE)</f>
        <v>9460.3696</v>
      </c>
      <c r="N345" s="105">
        <f t="shared" si="86"/>
        <v>0.83919084593379645</v>
      </c>
      <c r="O345" s="131">
        <f t="shared" si="87"/>
        <v>8325.1252480000003</v>
      </c>
      <c r="P345" s="388">
        <f t="shared" si="90"/>
        <v>0.85848794442174092</v>
      </c>
      <c r="Q345" s="131">
        <f t="shared" si="88"/>
        <v>7568.2956800000002</v>
      </c>
      <c r="R345" s="105">
        <f t="shared" si="91"/>
        <v>0.8713526767470372</v>
      </c>
      <c r="S345" s="131">
        <f t="shared" si="78"/>
        <v>7095.2772000000004</v>
      </c>
      <c r="T345" s="94">
        <f t="shared" si="79"/>
        <v>0.87939313445034739</v>
      </c>
      <c r="V345" s="82"/>
      <c r="W345" s="504">
        <v>297</v>
      </c>
      <c r="X345" s="506" t="s">
        <v>944</v>
      </c>
      <c r="Y345" s="508">
        <v>0</v>
      </c>
      <c r="Z345" s="403">
        <v>0</v>
      </c>
      <c r="AA345" s="407">
        <f t="shared" si="80"/>
        <v>0.86886517712212352</v>
      </c>
      <c r="AB345" s="411"/>
      <c r="AC345" s="446"/>
    </row>
    <row r="346" spans="1:29">
      <c r="A346" s="67">
        <v>294</v>
      </c>
      <c r="B346" s="74" t="s">
        <v>275</v>
      </c>
      <c r="C346" s="125" t="s">
        <v>365</v>
      </c>
      <c r="D346" s="387">
        <f t="shared" si="81"/>
        <v>0</v>
      </c>
      <c r="E346" s="104">
        <f t="shared" si="82"/>
        <v>4</v>
      </c>
      <c r="F346" s="83">
        <f t="shared" si="83"/>
        <v>8985.2747999999992</v>
      </c>
      <c r="G346" s="83">
        <f t="shared" si="84"/>
        <v>0</v>
      </c>
      <c r="H346" s="483">
        <f t="shared" si="85"/>
        <v>0</v>
      </c>
      <c r="I346" s="83">
        <f>+'Costo adq'!C334*$I$1</f>
        <v>284018.71999999997</v>
      </c>
      <c r="J346" s="83">
        <f t="shared" si="89"/>
        <v>0</v>
      </c>
      <c r="K346" s="358">
        <f t="shared" si="75"/>
        <v>0</v>
      </c>
      <c r="L346" s="54">
        <f>VLOOKUP(A346,'Precios oferta'!$A$30:$U$436,$B$5,FALSE)</f>
        <v>707091.86880000005</v>
      </c>
      <c r="M346" s="48">
        <f>VLOOKUP(A346,'Precios piso'!$A$30:$U$436,$B$5,FALSE)</f>
        <v>11980.366399999999</v>
      </c>
      <c r="N346" s="105">
        <f t="shared" si="86"/>
        <v>0.983056846035676</v>
      </c>
      <c r="O346" s="131">
        <f t="shared" si="87"/>
        <v>10542.722431999999</v>
      </c>
      <c r="P346" s="388">
        <f t="shared" si="90"/>
        <v>0.98509002451139482</v>
      </c>
      <c r="Q346" s="131">
        <f t="shared" si="88"/>
        <v>9584.2931199999985</v>
      </c>
      <c r="R346" s="105">
        <f t="shared" si="91"/>
        <v>0.98644547682854078</v>
      </c>
      <c r="S346" s="131">
        <f t="shared" si="78"/>
        <v>8985.2747999999992</v>
      </c>
      <c r="T346" s="94">
        <f t="shared" si="79"/>
        <v>0.98729263452675697</v>
      </c>
      <c r="V346" s="82"/>
      <c r="W346" s="504">
        <v>298</v>
      </c>
      <c r="X346" s="506" t="s">
        <v>945</v>
      </c>
      <c r="Y346" s="508">
        <v>0</v>
      </c>
      <c r="Z346" s="403">
        <v>0</v>
      </c>
      <c r="AA346" s="407">
        <f t="shared" si="80"/>
        <v>0.98226036799892857</v>
      </c>
      <c r="AB346" s="411"/>
      <c r="AC346" s="446"/>
    </row>
    <row r="347" spans="1:29">
      <c r="A347" s="67">
        <v>295</v>
      </c>
      <c r="B347" s="74" t="s">
        <v>276</v>
      </c>
      <c r="C347" s="125" t="s">
        <v>366</v>
      </c>
      <c r="D347" s="387">
        <f t="shared" si="81"/>
        <v>0</v>
      </c>
      <c r="E347" s="104">
        <f t="shared" si="82"/>
        <v>4</v>
      </c>
      <c r="F347" s="83">
        <f t="shared" si="83"/>
        <v>10185.1692</v>
      </c>
      <c r="G347" s="83">
        <f t="shared" si="84"/>
        <v>0</v>
      </c>
      <c r="H347" s="483">
        <f t="shared" si="85"/>
        <v>0</v>
      </c>
      <c r="I347" s="83">
        <f>+'Costo adq'!C335*$I$1</f>
        <v>10534.592000000001</v>
      </c>
      <c r="J347" s="83">
        <f t="shared" si="89"/>
        <v>0</v>
      </c>
      <c r="L347" s="54">
        <f>VLOOKUP(A347,'Precios oferta'!$A$30:$U$436,$B$5,FALSE)</f>
        <v>63922.243199999997</v>
      </c>
      <c r="M347" s="48">
        <f>VLOOKUP(A347,'Precios piso'!$A$30:$U$436,$B$5,FALSE)</f>
        <v>13580.2256</v>
      </c>
      <c r="N347" s="105">
        <f t="shared" si="86"/>
        <v>0.78755085991725648</v>
      </c>
      <c r="O347" s="131">
        <f t="shared" si="87"/>
        <v>11950.598528</v>
      </c>
      <c r="P347" s="388">
        <f t="shared" si="90"/>
        <v>0.81304475672718568</v>
      </c>
      <c r="Q347" s="131">
        <f t="shared" si="88"/>
        <v>10864.180479999999</v>
      </c>
      <c r="R347" s="105">
        <f t="shared" si="91"/>
        <v>0.83004068793380514</v>
      </c>
      <c r="S347" s="131">
        <f t="shared" si="78"/>
        <v>10185.1692</v>
      </c>
      <c r="T347" s="94">
        <f t="shared" si="79"/>
        <v>0.84066314493794236</v>
      </c>
      <c r="V347" s="82"/>
      <c r="W347" s="504">
        <v>299</v>
      </c>
      <c r="X347" s="506" t="s">
        <v>946</v>
      </c>
      <c r="Y347" s="508">
        <v>0</v>
      </c>
      <c r="Z347" s="403">
        <v>0</v>
      </c>
      <c r="AA347" s="407">
        <f t="shared" si="80"/>
        <v>0.85252076492176943</v>
      </c>
      <c r="AB347" s="411"/>
      <c r="AC347" s="446"/>
    </row>
    <row r="348" spans="1:29">
      <c r="A348" s="67">
        <v>296</v>
      </c>
      <c r="B348" s="74" t="s">
        <v>276</v>
      </c>
      <c r="C348" s="125" t="s">
        <v>365</v>
      </c>
      <c r="D348" s="387">
        <f t="shared" si="81"/>
        <v>0</v>
      </c>
      <c r="E348" s="104">
        <f t="shared" si="82"/>
        <v>4</v>
      </c>
      <c r="F348" s="83">
        <f t="shared" si="83"/>
        <v>14598.715200000001</v>
      </c>
      <c r="G348" s="83">
        <f t="shared" si="84"/>
        <v>0</v>
      </c>
      <c r="H348" s="483">
        <f t="shared" si="85"/>
        <v>0</v>
      </c>
      <c r="I348" s="83">
        <f>+'Costo adq'!C336*$I$1</f>
        <v>379092.32</v>
      </c>
      <c r="J348" s="83">
        <f t="shared" si="89"/>
        <v>0</v>
      </c>
      <c r="K348" s="358">
        <f t="shared" si="75"/>
        <v>0</v>
      </c>
      <c r="L348" s="54">
        <f>VLOOKUP(A348,'Precios oferta'!$A$30:$U$436,$B$5,FALSE)</f>
        <v>763363.4192</v>
      </c>
      <c r="M348" s="48">
        <f>VLOOKUP(A348,'Precios piso'!$A$30:$U$436,$B$5,FALSE)</f>
        <v>19464.953600000001</v>
      </c>
      <c r="N348" s="105">
        <f t="shared" si="86"/>
        <v>0.9745010657958969</v>
      </c>
      <c r="O348" s="131">
        <f t="shared" si="87"/>
        <v>17129.159168000002</v>
      </c>
      <c r="P348" s="388">
        <f t="shared" si="90"/>
        <v>0.97756093790038923</v>
      </c>
      <c r="Q348" s="131">
        <f t="shared" si="88"/>
        <v>15571.962880000001</v>
      </c>
      <c r="R348" s="105">
        <f t="shared" si="91"/>
        <v>0.97960085263671748</v>
      </c>
      <c r="S348" s="131">
        <f t="shared" si="78"/>
        <v>14598.715200000001</v>
      </c>
      <c r="T348" s="94">
        <f t="shared" si="79"/>
        <v>0.98087579934692259</v>
      </c>
      <c r="V348" s="82"/>
      <c r="W348" s="504">
        <v>300</v>
      </c>
      <c r="X348" s="506" t="s">
        <v>947</v>
      </c>
      <c r="Y348" s="508">
        <v>0</v>
      </c>
      <c r="Z348" s="403">
        <v>0</v>
      </c>
      <c r="AA348" s="407">
        <f t="shared" si="80"/>
        <v>0.99182079309947857</v>
      </c>
      <c r="AB348" s="411"/>
      <c r="AC348" s="446"/>
    </row>
    <row r="349" spans="1:29">
      <c r="A349" s="67">
        <v>297</v>
      </c>
      <c r="B349" s="74" t="s">
        <v>277</v>
      </c>
      <c r="C349" s="125" t="s">
        <v>366</v>
      </c>
      <c r="D349" s="387">
        <f t="shared" si="81"/>
        <v>0</v>
      </c>
      <c r="E349" s="104">
        <f t="shared" si="82"/>
        <v>4</v>
      </c>
      <c r="F349" s="83">
        <f t="shared" si="83"/>
        <v>9004.9452000000001</v>
      </c>
      <c r="G349" s="83">
        <f t="shared" si="84"/>
        <v>0</v>
      </c>
      <c r="H349" s="483">
        <f t="shared" si="85"/>
        <v>0</v>
      </c>
      <c r="I349" s="83">
        <f>+'Costo adq'!C337*$I$1</f>
        <v>15933.023999999999</v>
      </c>
      <c r="J349" s="83">
        <f t="shared" si="89"/>
        <v>0</v>
      </c>
      <c r="L349" s="54">
        <f>VLOOKUP(A349,'Precios oferta'!$A$30:$U$436,$B$5,FALSE)</f>
        <v>68669.366399999999</v>
      </c>
      <c r="M349" s="48">
        <f>VLOOKUP(A349,'Precios piso'!$A$30:$U$436,$B$5,FALSE)</f>
        <v>12006.5936</v>
      </c>
      <c r="N349" s="105">
        <f t="shared" si="86"/>
        <v>0.8251535694961647</v>
      </c>
      <c r="O349" s="131">
        <f t="shared" si="87"/>
        <v>10565.802368000001</v>
      </c>
      <c r="P349" s="388">
        <f t="shared" si="90"/>
        <v>0.84613514115662491</v>
      </c>
      <c r="Q349" s="131">
        <f t="shared" si="88"/>
        <v>9605.2748800000008</v>
      </c>
      <c r="R349" s="105">
        <f t="shared" si="91"/>
        <v>0.8601228555969318</v>
      </c>
      <c r="S349" s="131">
        <f t="shared" si="78"/>
        <v>9004.9452000000001</v>
      </c>
      <c r="T349" s="94">
        <f t="shared" si="79"/>
        <v>0.86886517712212352</v>
      </c>
      <c r="V349" s="82"/>
      <c r="W349" s="504">
        <v>301</v>
      </c>
      <c r="X349" s="506" t="s">
        <v>948</v>
      </c>
      <c r="Y349" s="508">
        <v>0</v>
      </c>
      <c r="Z349" s="403">
        <v>0</v>
      </c>
      <c r="AA349" s="407">
        <f t="shared" si="80"/>
        <v>0.84521505970809374</v>
      </c>
      <c r="AB349" s="411"/>
      <c r="AC349" s="446"/>
    </row>
    <row r="350" spans="1:29">
      <c r="A350" s="67">
        <v>298</v>
      </c>
      <c r="B350" s="74" t="s">
        <v>277</v>
      </c>
      <c r="C350" s="125" t="s">
        <v>365</v>
      </c>
      <c r="D350" s="387">
        <f t="shared" si="81"/>
        <v>0</v>
      </c>
      <c r="E350" s="104">
        <f t="shared" si="82"/>
        <v>4</v>
      </c>
      <c r="F350" s="83">
        <f t="shared" si="83"/>
        <v>15053.593200000001</v>
      </c>
      <c r="G350" s="83">
        <f t="shared" si="84"/>
        <v>0</v>
      </c>
      <c r="H350" s="483">
        <f t="shared" si="85"/>
        <v>0</v>
      </c>
      <c r="I350" s="83">
        <f>+'Costo adq'!C338*$I$1</f>
        <v>573610.72</v>
      </c>
      <c r="J350" s="83">
        <f t="shared" si="89"/>
        <v>0</v>
      </c>
      <c r="K350" s="358">
        <f t="shared" si="75"/>
        <v>0</v>
      </c>
      <c r="L350" s="54">
        <f>VLOOKUP(A350,'Precios oferta'!$A$30:$U$436,$B$5,FALSE)</f>
        <v>848585.42720000003</v>
      </c>
      <c r="M350" s="48">
        <f>VLOOKUP(A350,'Precios piso'!$A$30:$U$436,$B$5,FALSE)</f>
        <v>20071.457600000002</v>
      </c>
      <c r="N350" s="105">
        <f t="shared" si="86"/>
        <v>0.97634715733190469</v>
      </c>
      <c r="O350" s="131">
        <f t="shared" si="87"/>
        <v>17662.882688000002</v>
      </c>
      <c r="P350" s="388">
        <f t="shared" si="90"/>
        <v>0.97918549845207614</v>
      </c>
      <c r="Q350" s="131">
        <f t="shared" si="88"/>
        <v>16057.166080000001</v>
      </c>
      <c r="R350" s="105">
        <f t="shared" si="91"/>
        <v>0.98107772586552378</v>
      </c>
      <c r="S350" s="131">
        <f t="shared" si="78"/>
        <v>15053.593200000001</v>
      </c>
      <c r="T350" s="94">
        <f t="shared" si="79"/>
        <v>0.98226036799892857</v>
      </c>
      <c r="V350" s="82"/>
      <c r="W350" s="504">
        <v>302</v>
      </c>
      <c r="X350" s="506" t="s">
        <v>949</v>
      </c>
      <c r="Y350" s="508">
        <v>1</v>
      </c>
      <c r="Z350" s="403">
        <v>0</v>
      </c>
      <c r="AA350" s="407">
        <f t="shared" si="80"/>
        <v>0.98111408953426704</v>
      </c>
      <c r="AB350" s="411"/>
      <c r="AC350" s="446"/>
    </row>
    <row r="351" spans="1:29">
      <c r="A351" s="67">
        <v>299</v>
      </c>
      <c r="B351" s="74" t="s">
        <v>278</v>
      </c>
      <c r="C351" s="125" t="s">
        <v>366</v>
      </c>
      <c r="D351" s="387">
        <f t="shared" si="81"/>
        <v>0</v>
      </c>
      <c r="E351" s="104">
        <f t="shared" si="82"/>
        <v>4</v>
      </c>
      <c r="F351" s="83">
        <f t="shared" si="83"/>
        <v>2503.0583999999999</v>
      </c>
      <c r="G351" s="83">
        <f t="shared" si="84"/>
        <v>0</v>
      </c>
      <c r="H351" s="483">
        <f t="shared" si="85"/>
        <v>0</v>
      </c>
      <c r="I351" s="83">
        <f>+'Costo adq'!C339*$I$1</f>
        <v>3256.5439999999999</v>
      </c>
      <c r="J351" s="83">
        <f t="shared" si="89"/>
        <v>0</v>
      </c>
      <c r="L351" s="54">
        <f>VLOOKUP(A351,'Precios oferta'!$A$30:$U$436,$B$5,FALSE)</f>
        <v>16972.2768</v>
      </c>
      <c r="M351" s="48">
        <f>VLOOKUP(A351,'Precios piso'!$A$30:$U$436,$B$5,FALSE)</f>
        <v>3337.4112</v>
      </c>
      <c r="N351" s="105">
        <f t="shared" si="86"/>
        <v>0.80336101989569242</v>
      </c>
      <c r="O351" s="131">
        <f t="shared" si="87"/>
        <v>2936.9218559999999</v>
      </c>
      <c r="P351" s="388">
        <f t="shared" si="90"/>
        <v>0.82695769750820936</v>
      </c>
      <c r="Q351" s="131">
        <f t="shared" si="88"/>
        <v>2669.9289600000002</v>
      </c>
      <c r="R351" s="105">
        <f t="shared" si="91"/>
        <v>0.84268881591655398</v>
      </c>
      <c r="S351" s="131">
        <f t="shared" si="78"/>
        <v>2503.0583999999999</v>
      </c>
      <c r="T351" s="94">
        <f t="shared" si="79"/>
        <v>0.85252076492176943</v>
      </c>
      <c r="V351" s="82"/>
      <c r="W351" s="504">
        <v>303</v>
      </c>
      <c r="X351" s="506" t="s">
        <v>950</v>
      </c>
      <c r="Y351" s="508">
        <v>0</v>
      </c>
      <c r="Z351" s="403">
        <v>0</v>
      </c>
      <c r="AA351" s="407">
        <f t="shared" si="80"/>
        <v>0.79767336531687194</v>
      </c>
      <c r="AB351" s="411"/>
      <c r="AC351" s="446"/>
    </row>
    <row r="352" spans="1:29">
      <c r="A352" s="67">
        <v>300</v>
      </c>
      <c r="B352" s="74" t="s">
        <v>278</v>
      </c>
      <c r="C352" s="125" t="s">
        <v>365</v>
      </c>
      <c r="D352" s="387">
        <f t="shared" si="81"/>
        <v>0</v>
      </c>
      <c r="E352" s="104">
        <f t="shared" si="82"/>
        <v>4</v>
      </c>
      <c r="F352" s="83">
        <f t="shared" si="83"/>
        <v>3183.3263999999999</v>
      </c>
      <c r="G352" s="83">
        <f t="shared" si="84"/>
        <v>0</v>
      </c>
      <c r="H352" s="483">
        <f t="shared" si="85"/>
        <v>0</v>
      </c>
      <c r="I352" s="83">
        <f>+'Costo adq'!C340*$I$1</f>
        <v>39012.959999999999</v>
      </c>
      <c r="J352" s="83">
        <f t="shared" si="89"/>
        <v>0</v>
      </c>
      <c r="K352" s="358">
        <f t="shared" si="75"/>
        <v>0</v>
      </c>
      <c r="L352" s="54">
        <f>VLOOKUP(A352,'Precios oferta'!$A$30:$U$436,$B$5,FALSE)</f>
        <v>389197.44160000002</v>
      </c>
      <c r="M352" s="48">
        <f>VLOOKUP(A352,'Precios piso'!$A$30:$U$436,$B$5,FALSE)</f>
        <v>4244.4351999999999</v>
      </c>
      <c r="N352" s="105">
        <f t="shared" si="86"/>
        <v>0.98909439079930483</v>
      </c>
      <c r="O352" s="131">
        <f t="shared" si="87"/>
        <v>3735.1029760000001</v>
      </c>
      <c r="P352" s="388">
        <f t="shared" si="90"/>
        <v>0.99040306390338817</v>
      </c>
      <c r="Q352" s="131">
        <f t="shared" si="88"/>
        <v>3395.5481599999998</v>
      </c>
      <c r="R352" s="105">
        <f t="shared" si="91"/>
        <v>0.9912755126394438</v>
      </c>
      <c r="S352" s="131">
        <f t="shared" si="78"/>
        <v>3183.3263999999999</v>
      </c>
      <c r="T352" s="94">
        <f t="shared" si="79"/>
        <v>0.99182079309947857</v>
      </c>
      <c r="V352" s="82"/>
      <c r="W352" s="504">
        <v>304</v>
      </c>
      <c r="X352" s="506" t="s">
        <v>951</v>
      </c>
      <c r="Y352" s="508">
        <v>0</v>
      </c>
      <c r="Z352" s="403">
        <v>0</v>
      </c>
      <c r="AA352" s="407">
        <f t="shared" si="80"/>
        <v>0.97833074029226508</v>
      </c>
      <c r="AB352" s="411"/>
      <c r="AC352" s="446"/>
    </row>
    <row r="353" spans="1:29">
      <c r="A353" s="67">
        <v>301</v>
      </c>
      <c r="B353" s="74" t="s">
        <v>279</v>
      </c>
      <c r="C353" s="125" t="s">
        <v>366</v>
      </c>
      <c r="D353" s="387">
        <f t="shared" si="81"/>
        <v>0</v>
      </c>
      <c r="E353" s="104">
        <f t="shared" si="82"/>
        <v>4</v>
      </c>
      <c r="F353" s="83">
        <f t="shared" si="83"/>
        <v>3059.5668000000001</v>
      </c>
      <c r="G353" s="83">
        <f t="shared" si="84"/>
        <v>0</v>
      </c>
      <c r="H353" s="483">
        <f t="shared" si="85"/>
        <v>0</v>
      </c>
      <c r="I353" s="83">
        <f>+'Costo adq'!C341*$I$1</f>
        <v>4884.8159999999998</v>
      </c>
      <c r="J353" s="83">
        <f t="shared" si="89"/>
        <v>0</v>
      </c>
      <c r="L353" s="54">
        <f>VLOOKUP(A353,'Precios oferta'!$A$30:$U$436,$B$5,FALSE)</f>
        <v>19766.5664</v>
      </c>
      <c r="M353" s="48">
        <f>VLOOKUP(A353,'Precios piso'!$A$30:$U$436,$B$5,FALSE)</f>
        <v>4079.4223999999999</v>
      </c>
      <c r="N353" s="105">
        <f t="shared" si="86"/>
        <v>0.79362007961079173</v>
      </c>
      <c r="O353" s="131">
        <f t="shared" si="87"/>
        <v>3589.8917120000001</v>
      </c>
      <c r="P353" s="388">
        <f t="shared" si="90"/>
        <v>0.81838567005749674</v>
      </c>
      <c r="Q353" s="131">
        <f t="shared" si="88"/>
        <v>3263.5379199999998</v>
      </c>
      <c r="R353" s="105">
        <f t="shared" si="91"/>
        <v>0.83489606368863334</v>
      </c>
      <c r="S353" s="131">
        <f t="shared" si="78"/>
        <v>3059.5668000000001</v>
      </c>
      <c r="T353" s="94">
        <f t="shared" si="79"/>
        <v>0.84521505970809374</v>
      </c>
      <c r="V353" s="82"/>
      <c r="W353" s="504">
        <v>305</v>
      </c>
      <c r="X353" s="506" t="s">
        <v>952</v>
      </c>
      <c r="Y353" s="508">
        <v>0</v>
      </c>
      <c r="Z353" s="403">
        <v>0</v>
      </c>
      <c r="AA353" s="407">
        <f t="shared" si="80"/>
        <v>0.98886397883053401</v>
      </c>
      <c r="AB353" s="411"/>
      <c r="AC353" s="446"/>
    </row>
    <row r="354" spans="1:29">
      <c r="A354" s="67">
        <v>302</v>
      </c>
      <c r="B354" s="74" t="s">
        <v>279</v>
      </c>
      <c r="C354" s="125" t="s">
        <v>365</v>
      </c>
      <c r="D354" s="387">
        <f t="shared" si="81"/>
        <v>1</v>
      </c>
      <c r="E354" s="104">
        <f t="shared" si="82"/>
        <v>4</v>
      </c>
      <c r="F354" s="83">
        <f t="shared" si="83"/>
        <v>4319.2919999999995</v>
      </c>
      <c r="G354" s="83">
        <f t="shared" si="84"/>
        <v>17277.167999999998</v>
      </c>
      <c r="H354" s="483">
        <f t="shared" si="85"/>
        <v>0</v>
      </c>
      <c r="I354" s="83">
        <f>+'Costo adq'!C342*$I$1</f>
        <v>58519.44</v>
      </c>
      <c r="J354" s="83">
        <f t="shared" si="89"/>
        <v>234077.76</v>
      </c>
      <c r="K354" s="358">
        <f t="shared" si="75"/>
        <v>175558.32</v>
      </c>
      <c r="L354" s="54">
        <f>VLOOKUP(A354,'Precios oferta'!$A$30:$U$436,$B$5,FALSE)</f>
        <v>228704.46239999999</v>
      </c>
      <c r="M354" s="48">
        <f>VLOOKUP(A354,'Precios piso'!$A$30:$U$436,$B$5,FALSE)</f>
        <v>5759.0559999999996</v>
      </c>
      <c r="N354" s="105">
        <f t="shared" si="86"/>
        <v>0.97481878604568928</v>
      </c>
      <c r="O354" s="131">
        <f t="shared" si="87"/>
        <v>5067.9692799999993</v>
      </c>
      <c r="P354" s="388">
        <f t="shared" si="90"/>
        <v>0.97784053172020657</v>
      </c>
      <c r="Q354" s="131">
        <f t="shared" si="88"/>
        <v>4607.2447999999995</v>
      </c>
      <c r="R354" s="105">
        <f t="shared" si="91"/>
        <v>0.97985502883655151</v>
      </c>
      <c r="S354" s="131">
        <f t="shared" si="78"/>
        <v>4319.2919999999995</v>
      </c>
      <c r="T354" s="94">
        <f t="shared" si="79"/>
        <v>0.98111408953426704</v>
      </c>
      <c r="V354" s="82"/>
      <c r="W354" s="504">
        <v>306</v>
      </c>
      <c r="X354" s="506" t="s">
        <v>953</v>
      </c>
      <c r="Y354" s="508">
        <v>0</v>
      </c>
      <c r="Z354" s="403">
        <v>0</v>
      </c>
      <c r="AA354" s="407">
        <f t="shared" si="80"/>
        <v>0.98885168696420034</v>
      </c>
      <c r="AB354" s="411"/>
      <c r="AC354" s="446"/>
    </row>
    <row r="355" spans="1:29">
      <c r="A355" s="67">
        <v>303</v>
      </c>
      <c r="B355" s="74" t="s">
        <v>280</v>
      </c>
      <c r="C355" s="125" t="s">
        <v>366</v>
      </c>
      <c r="D355" s="387">
        <f t="shared" si="81"/>
        <v>0</v>
      </c>
      <c r="E355" s="104">
        <f t="shared" si="82"/>
        <v>4</v>
      </c>
      <c r="F355" s="83">
        <f t="shared" si="83"/>
        <v>6590.4035999999996</v>
      </c>
      <c r="G355" s="83">
        <f t="shared" si="84"/>
        <v>0</v>
      </c>
      <c r="H355" s="483">
        <f t="shared" si="85"/>
        <v>0</v>
      </c>
      <c r="I355" s="83">
        <f>+'Costo adq'!C343*$I$1</f>
        <v>8130.4319999999998</v>
      </c>
      <c r="J355" s="83">
        <f t="shared" si="89"/>
        <v>0</v>
      </c>
      <c r="L355" s="54">
        <f>VLOOKUP(A355,'Precios oferta'!$A$30:$U$436,$B$5,FALSE)</f>
        <v>32573.089599999999</v>
      </c>
      <c r="M355" s="48">
        <f>VLOOKUP(A355,'Precios piso'!$A$30:$U$436,$B$5,FALSE)</f>
        <v>8787.2047999999995</v>
      </c>
      <c r="N355" s="105">
        <f t="shared" si="86"/>
        <v>0.73023115375582925</v>
      </c>
      <c r="O355" s="131">
        <f t="shared" si="87"/>
        <v>7732.7402239999992</v>
      </c>
      <c r="P355" s="388">
        <f t="shared" si="90"/>
        <v>0.76260341530512965</v>
      </c>
      <c r="Q355" s="131">
        <f t="shared" si="88"/>
        <v>7029.7638399999996</v>
      </c>
      <c r="R355" s="105">
        <f t="shared" si="91"/>
        <v>0.78418492300466336</v>
      </c>
      <c r="S355" s="131">
        <f t="shared" si="78"/>
        <v>6590.4035999999996</v>
      </c>
      <c r="T355" s="94">
        <f t="shared" si="79"/>
        <v>0.79767336531687194</v>
      </c>
      <c r="V355" s="82"/>
      <c r="W355" s="504">
        <v>307</v>
      </c>
      <c r="X355" s="506" t="s">
        <v>954</v>
      </c>
      <c r="Y355" s="508">
        <v>0</v>
      </c>
      <c r="Z355" s="403">
        <v>0</v>
      </c>
      <c r="AA355" s="407">
        <f t="shared" si="80"/>
        <v>0.98885018276378089</v>
      </c>
      <c r="AB355" s="411"/>
      <c r="AC355" s="446"/>
    </row>
    <row r="356" spans="1:29">
      <c r="A356" s="67">
        <v>304</v>
      </c>
      <c r="B356" s="74" t="s">
        <v>280</v>
      </c>
      <c r="C356" s="125" t="s">
        <v>365</v>
      </c>
      <c r="D356" s="387">
        <f t="shared" si="81"/>
        <v>0</v>
      </c>
      <c r="E356" s="104">
        <f t="shared" ref="E356:E385" si="92">$B$6</f>
        <v>4</v>
      </c>
      <c r="F356" s="83">
        <f t="shared" si="83"/>
        <v>6590.4035999999996</v>
      </c>
      <c r="G356" s="83">
        <f t="shared" si="84"/>
        <v>0</v>
      </c>
      <c r="H356" s="483">
        <f t="shared" si="85"/>
        <v>0</v>
      </c>
      <c r="I356" s="83">
        <f>+'Costo adq'!C344*$I$1</f>
        <v>97532.4</v>
      </c>
      <c r="J356" s="83">
        <f t="shared" si="89"/>
        <v>0</v>
      </c>
      <c r="K356" s="358">
        <f t="shared" si="75"/>
        <v>0</v>
      </c>
      <c r="L356" s="54">
        <f>VLOOKUP(A356,'Precios oferta'!$A$30:$U$436,$B$5,FALSE)</f>
        <v>304136.07520000002</v>
      </c>
      <c r="M356" s="48">
        <f>VLOOKUP(A356,'Precios piso'!$A$30:$U$436,$B$5,FALSE)</f>
        <v>8787.2047999999995</v>
      </c>
      <c r="N356" s="105">
        <f t="shared" si="86"/>
        <v>0.9711076537230201</v>
      </c>
      <c r="O356" s="131">
        <f t="shared" ref="O356:O387" si="93">+M356-(M356*$N$481)</f>
        <v>7732.7402239999992</v>
      </c>
      <c r="P356" s="388">
        <f t="shared" si="90"/>
        <v>0.97457473527625771</v>
      </c>
      <c r="Q356" s="131">
        <f t="shared" si="88"/>
        <v>7029.7638399999996</v>
      </c>
      <c r="R356" s="105">
        <f t="shared" si="91"/>
        <v>0.97688612297841604</v>
      </c>
      <c r="S356" s="131">
        <f t="shared" si="78"/>
        <v>6590.4035999999996</v>
      </c>
      <c r="T356" s="94">
        <f t="shared" si="79"/>
        <v>0.97833074029226508</v>
      </c>
      <c r="V356" s="82"/>
      <c r="W356" s="504">
        <v>308</v>
      </c>
      <c r="X356" s="506" t="s">
        <v>955</v>
      </c>
      <c r="Y356" s="508">
        <v>0</v>
      </c>
      <c r="Z356" s="403">
        <v>0</v>
      </c>
      <c r="AA356" s="407">
        <f t="shared" si="80"/>
        <v>0.98887950967078941</v>
      </c>
      <c r="AB356" s="411"/>
      <c r="AC356" s="446"/>
    </row>
    <row r="357" spans="1:29">
      <c r="A357" s="67">
        <v>305</v>
      </c>
      <c r="B357" s="74" t="s">
        <v>281</v>
      </c>
      <c r="C357" s="125" t="s">
        <v>365</v>
      </c>
      <c r="D357" s="387">
        <f t="shared" si="81"/>
        <v>0</v>
      </c>
      <c r="E357" s="104">
        <f t="shared" si="92"/>
        <v>4</v>
      </c>
      <c r="F357" s="83">
        <f t="shared" si="83"/>
        <v>993.35519999999997</v>
      </c>
      <c r="G357" s="83">
        <f t="shared" si="84"/>
        <v>0</v>
      </c>
      <c r="H357" s="483">
        <f t="shared" si="85"/>
        <v>0</v>
      </c>
      <c r="I357" s="83">
        <f>+'Costo adq'!C345*$I$1</f>
        <v>41307.839999999997</v>
      </c>
      <c r="J357" s="83">
        <f t="shared" si="89"/>
        <v>0</v>
      </c>
      <c r="K357" s="358">
        <f t="shared" si="75"/>
        <v>0</v>
      </c>
      <c r="L357" s="54">
        <f>VLOOKUP(A357,'Precios oferta'!$A$30:$U$436,$B$5,FALSE)</f>
        <v>89201.9856</v>
      </c>
      <c r="M357" s="48">
        <f>VLOOKUP(A357,'Precios piso'!$A$30:$U$436,$B$5,FALSE)</f>
        <v>1324.4736</v>
      </c>
      <c r="N357" s="105">
        <f t="shared" si="86"/>
        <v>0.98515197177404534</v>
      </c>
      <c r="O357" s="131">
        <f t="shared" si="93"/>
        <v>1165.5367679999999</v>
      </c>
      <c r="P357" s="388">
        <f t="shared" si="90"/>
        <v>0.9869337351611599</v>
      </c>
      <c r="Q357" s="131">
        <f t="shared" si="88"/>
        <v>1059.57888</v>
      </c>
      <c r="R357" s="105">
        <f t="shared" si="91"/>
        <v>0.98812157741923623</v>
      </c>
      <c r="S357" s="131">
        <f t="shared" si="78"/>
        <v>993.35519999999997</v>
      </c>
      <c r="T357" s="94">
        <f t="shared" si="79"/>
        <v>0.98886397883053401</v>
      </c>
      <c r="V357" s="82"/>
      <c r="W357" s="504">
        <v>309</v>
      </c>
      <c r="X357" s="506" t="s">
        <v>956</v>
      </c>
      <c r="Y357" s="508">
        <v>0</v>
      </c>
      <c r="Z357" s="403">
        <v>0</v>
      </c>
      <c r="AA357" s="407">
        <f t="shared" si="80"/>
        <v>0.98956074749182321</v>
      </c>
      <c r="AB357" s="411"/>
      <c r="AC357" s="446"/>
    </row>
    <row r="358" spans="1:29">
      <c r="A358" s="67">
        <v>306</v>
      </c>
      <c r="B358" s="74" t="s">
        <v>282</v>
      </c>
      <c r="C358" s="125" t="s">
        <v>365</v>
      </c>
      <c r="D358" s="387">
        <f t="shared" si="81"/>
        <v>0</v>
      </c>
      <c r="E358" s="104">
        <f t="shared" si="92"/>
        <v>4</v>
      </c>
      <c r="F358" s="83">
        <f t="shared" si="83"/>
        <v>993.35519999999997</v>
      </c>
      <c r="G358" s="83">
        <f t="shared" si="84"/>
        <v>0</v>
      </c>
      <c r="H358" s="483">
        <f t="shared" si="85"/>
        <v>0</v>
      </c>
      <c r="I358" s="83">
        <f>+'Costo adq'!C346*$I$1</f>
        <v>41307.839999999997</v>
      </c>
      <c r="J358" s="83">
        <f t="shared" si="89"/>
        <v>0</v>
      </c>
      <c r="K358" s="358">
        <f t="shared" si="75"/>
        <v>0</v>
      </c>
      <c r="L358" s="54">
        <f>VLOOKUP(A358,'Precios oferta'!$A$30:$U$436,$B$5,FALSE)</f>
        <v>89103.633600000001</v>
      </c>
      <c r="M358" s="48">
        <f>VLOOKUP(A358,'Precios piso'!$A$30:$U$436,$B$5,FALSE)</f>
        <v>1324.4736</v>
      </c>
      <c r="N358" s="105">
        <f t="shared" si="86"/>
        <v>0.98513558261893375</v>
      </c>
      <c r="O358" s="131">
        <f t="shared" si="93"/>
        <v>1165.5367679999999</v>
      </c>
      <c r="P358" s="388">
        <f t="shared" si="90"/>
        <v>0.98691931270466171</v>
      </c>
      <c r="Q358" s="131">
        <f t="shared" si="88"/>
        <v>1059.57888</v>
      </c>
      <c r="R358" s="105">
        <f t="shared" si="91"/>
        <v>0.98810846609514702</v>
      </c>
      <c r="S358" s="131">
        <f t="shared" si="78"/>
        <v>993.35519999999997</v>
      </c>
      <c r="T358" s="94">
        <f t="shared" si="79"/>
        <v>0.98885168696420034</v>
      </c>
      <c r="V358" s="82"/>
      <c r="W358" s="504">
        <v>310</v>
      </c>
      <c r="X358" s="506" t="s">
        <v>957</v>
      </c>
      <c r="Y358" s="508">
        <v>0</v>
      </c>
      <c r="Z358" s="403">
        <v>0</v>
      </c>
      <c r="AA358" s="407">
        <f t="shared" si="80"/>
        <v>0.98953353414209522</v>
      </c>
      <c r="AB358" s="411"/>
      <c r="AC358" s="446"/>
    </row>
    <row r="359" spans="1:29">
      <c r="A359" s="67">
        <v>307</v>
      </c>
      <c r="B359" s="74" t="s">
        <v>283</v>
      </c>
      <c r="C359" s="125" t="s">
        <v>365</v>
      </c>
      <c r="D359" s="387">
        <f t="shared" si="81"/>
        <v>0</v>
      </c>
      <c r="E359" s="104">
        <f t="shared" si="92"/>
        <v>4</v>
      </c>
      <c r="F359" s="83">
        <f t="shared" si="83"/>
        <v>993.35519999999997</v>
      </c>
      <c r="G359" s="83">
        <f t="shared" si="84"/>
        <v>0</v>
      </c>
      <c r="H359" s="483">
        <f t="shared" si="85"/>
        <v>0</v>
      </c>
      <c r="I359" s="83">
        <f>+'Costo adq'!C347*$I$1</f>
        <v>41307.839999999997</v>
      </c>
      <c r="J359" s="83">
        <f t="shared" si="89"/>
        <v>0</v>
      </c>
      <c r="K359" s="358">
        <f t="shared" ref="K359:K430" si="94">+(J359/E359)*(E359-1)</f>
        <v>0</v>
      </c>
      <c r="L359" s="54">
        <f>VLOOKUP(A359,'Precios oferta'!$A$30:$U$436,$B$5,FALSE)</f>
        <v>89091.612800000003</v>
      </c>
      <c r="M359" s="48">
        <f>VLOOKUP(A359,'Precios piso'!$A$30:$U$436,$B$5,FALSE)</f>
        <v>1324.4736</v>
      </c>
      <c r="N359" s="105">
        <f t="shared" si="86"/>
        <v>0.98513357701837445</v>
      </c>
      <c r="O359" s="131">
        <f t="shared" si="93"/>
        <v>1165.5367679999999</v>
      </c>
      <c r="P359" s="388">
        <f t="shared" si="90"/>
        <v>0.98691754777616958</v>
      </c>
      <c r="Q359" s="131">
        <f t="shared" si="88"/>
        <v>1059.57888</v>
      </c>
      <c r="R359" s="105">
        <f t="shared" si="91"/>
        <v>0.98810686161469963</v>
      </c>
      <c r="S359" s="131">
        <f t="shared" si="78"/>
        <v>993.35519999999997</v>
      </c>
      <c r="T359" s="94">
        <f t="shared" si="79"/>
        <v>0.98885018276378089</v>
      </c>
      <c r="V359" s="82"/>
      <c r="W359" s="504">
        <v>311</v>
      </c>
      <c r="X359" s="506" t="s">
        <v>958</v>
      </c>
      <c r="Y359" s="508">
        <v>0</v>
      </c>
      <c r="Z359" s="403">
        <v>0</v>
      </c>
      <c r="AA359" s="407">
        <f t="shared" si="80"/>
        <v>0.98959754277710132</v>
      </c>
      <c r="AB359" s="411"/>
      <c r="AC359" s="446"/>
    </row>
    <row r="360" spans="1:29">
      <c r="A360" s="67">
        <v>308</v>
      </c>
      <c r="B360" s="74" t="s">
        <v>284</v>
      </c>
      <c r="C360" s="125" t="s">
        <v>365</v>
      </c>
      <c r="D360" s="387">
        <f t="shared" si="81"/>
        <v>0</v>
      </c>
      <c r="E360" s="104">
        <f t="shared" si="92"/>
        <v>4</v>
      </c>
      <c r="F360" s="83">
        <f t="shared" si="83"/>
        <v>993.35519999999997</v>
      </c>
      <c r="G360" s="83">
        <f t="shared" si="84"/>
        <v>0</v>
      </c>
      <c r="H360" s="483">
        <f t="shared" si="85"/>
        <v>0</v>
      </c>
      <c r="I360" s="83">
        <f>+'Costo adq'!C348*$I$1</f>
        <v>41307.839999999997</v>
      </c>
      <c r="J360" s="83">
        <f t="shared" si="89"/>
        <v>0</v>
      </c>
      <c r="K360" s="358">
        <f t="shared" si="94"/>
        <v>0</v>
      </c>
      <c r="L360" s="54">
        <f>VLOOKUP(A360,'Precios oferta'!$A$30:$U$436,$B$5,FALSE)</f>
        <v>89326.564799999993</v>
      </c>
      <c r="M360" s="48">
        <f>VLOOKUP(A360,'Precios piso'!$A$30:$U$436,$B$5,FALSE)</f>
        <v>1324.4736</v>
      </c>
      <c r="N360" s="105">
        <f t="shared" si="86"/>
        <v>0.98517267956105259</v>
      </c>
      <c r="O360" s="131">
        <f t="shared" si="93"/>
        <v>1165.5367679999999</v>
      </c>
      <c r="P360" s="388">
        <f t="shared" si="90"/>
        <v>0.98695195801372626</v>
      </c>
      <c r="Q360" s="131">
        <f t="shared" si="88"/>
        <v>1059.57888</v>
      </c>
      <c r="R360" s="105">
        <f t="shared" si="91"/>
        <v>0.98813814364884212</v>
      </c>
      <c r="S360" s="131">
        <f t="shared" si="78"/>
        <v>993.35519999999997</v>
      </c>
      <c r="T360" s="94">
        <f t="shared" si="79"/>
        <v>0.98887950967078941</v>
      </c>
      <c r="V360" s="82"/>
      <c r="W360" s="504">
        <v>312</v>
      </c>
      <c r="X360" s="506" t="s">
        <v>959</v>
      </c>
      <c r="Y360" s="508">
        <v>0</v>
      </c>
      <c r="Z360" s="403">
        <v>0</v>
      </c>
      <c r="AA360" s="407">
        <f t="shared" si="80"/>
        <v>0.98958352432115293</v>
      </c>
      <c r="AB360" s="411"/>
      <c r="AC360" s="446"/>
    </row>
    <row r="361" spans="1:29">
      <c r="A361" s="67">
        <v>309</v>
      </c>
      <c r="B361" s="74" t="s">
        <v>285</v>
      </c>
      <c r="C361" s="125" t="s">
        <v>365</v>
      </c>
      <c r="D361" s="387">
        <f t="shared" si="81"/>
        <v>0</v>
      </c>
      <c r="E361" s="104">
        <f t="shared" si="92"/>
        <v>4</v>
      </c>
      <c r="F361" s="83">
        <f t="shared" si="83"/>
        <v>1241.694</v>
      </c>
      <c r="G361" s="83">
        <f t="shared" si="84"/>
        <v>0</v>
      </c>
      <c r="H361" s="483">
        <f t="shared" si="85"/>
        <v>0</v>
      </c>
      <c r="I361" s="83">
        <f>+'Costo adq'!C349*$I$1</f>
        <v>89467.535999999993</v>
      </c>
      <c r="J361" s="83">
        <f t="shared" si="89"/>
        <v>0</v>
      </c>
      <c r="K361" s="358">
        <f t="shared" si="94"/>
        <v>0</v>
      </c>
      <c r="L361" s="54">
        <f>VLOOKUP(A361,'Precios oferta'!$A$30:$U$436,$B$5,FALSE)</f>
        <v>118944.72319999999</v>
      </c>
      <c r="M361" s="48">
        <f>VLOOKUP(A361,'Precios piso'!$A$30:$U$436,$B$5,FALSE)</f>
        <v>1655.5920000000001</v>
      </c>
      <c r="N361" s="105">
        <f t="shared" si="86"/>
        <v>0.98608099665576421</v>
      </c>
      <c r="O361" s="131">
        <f t="shared" si="93"/>
        <v>1456.9209600000002</v>
      </c>
      <c r="P361" s="388">
        <f t="shared" si="90"/>
        <v>0.98775127705707255</v>
      </c>
      <c r="Q361" s="131">
        <f t="shared" si="88"/>
        <v>1324.4736</v>
      </c>
      <c r="R361" s="105">
        <f t="shared" si="91"/>
        <v>0.98886479732461141</v>
      </c>
      <c r="S361" s="131">
        <f t="shared" si="78"/>
        <v>1241.694</v>
      </c>
      <c r="T361" s="94">
        <f t="shared" si="79"/>
        <v>0.98956074749182321</v>
      </c>
      <c r="V361" s="82"/>
      <c r="W361" s="504">
        <v>313</v>
      </c>
      <c r="X361" s="506" t="s">
        <v>960</v>
      </c>
      <c r="Y361" s="508">
        <v>0</v>
      </c>
      <c r="Z361" s="403">
        <v>0</v>
      </c>
      <c r="AA361" s="407">
        <f t="shared" si="80"/>
        <v>0.9877838953888507</v>
      </c>
      <c r="AB361" s="411"/>
      <c r="AC361" s="446"/>
    </row>
    <row r="362" spans="1:29">
      <c r="A362" s="67">
        <v>310</v>
      </c>
      <c r="B362" s="74" t="s">
        <v>286</v>
      </c>
      <c r="C362" s="125" t="s">
        <v>365</v>
      </c>
      <c r="D362" s="387">
        <f t="shared" si="81"/>
        <v>0</v>
      </c>
      <c r="E362" s="104">
        <f t="shared" si="92"/>
        <v>4</v>
      </c>
      <c r="F362" s="83">
        <f t="shared" si="83"/>
        <v>1241.694</v>
      </c>
      <c r="G362" s="83">
        <f t="shared" si="84"/>
        <v>0</v>
      </c>
      <c r="H362" s="483">
        <f t="shared" si="85"/>
        <v>0</v>
      </c>
      <c r="I362" s="83">
        <f>+'Costo adq'!C350*$I$1</f>
        <v>89467.535999999993</v>
      </c>
      <c r="J362" s="83">
        <f t="shared" si="89"/>
        <v>0</v>
      </c>
      <c r="K362" s="358">
        <f t="shared" si="94"/>
        <v>0</v>
      </c>
      <c r="L362" s="54">
        <f>VLOOKUP(A362,'Precios oferta'!$A$30:$U$436,$B$5,FALSE)</f>
        <v>118635.4608</v>
      </c>
      <c r="M362" s="48">
        <f>VLOOKUP(A362,'Precios piso'!$A$30:$U$436,$B$5,FALSE)</f>
        <v>1655.5920000000001</v>
      </c>
      <c r="N362" s="105">
        <f t="shared" si="86"/>
        <v>0.98604471218946033</v>
      </c>
      <c r="O362" s="131">
        <f t="shared" si="93"/>
        <v>1456.9209600000002</v>
      </c>
      <c r="P362" s="388">
        <f t="shared" si="90"/>
        <v>0.98771934672672501</v>
      </c>
      <c r="Q362" s="131">
        <f t="shared" si="88"/>
        <v>1324.4736</v>
      </c>
      <c r="R362" s="105">
        <f t="shared" si="91"/>
        <v>0.98883576975156828</v>
      </c>
      <c r="S362" s="131">
        <f t="shared" si="78"/>
        <v>1241.694</v>
      </c>
      <c r="T362" s="94">
        <f t="shared" si="79"/>
        <v>0.98953353414209522</v>
      </c>
      <c r="V362" s="82"/>
      <c r="W362" s="504">
        <v>314</v>
      </c>
      <c r="X362" s="506" t="s">
        <v>961</v>
      </c>
      <c r="Y362" s="508">
        <v>0</v>
      </c>
      <c r="Z362" s="403">
        <v>0</v>
      </c>
      <c r="AA362" s="407">
        <f t="shared" si="80"/>
        <v>0.98778590935481791</v>
      </c>
      <c r="AB362" s="411"/>
      <c r="AC362" s="446"/>
    </row>
    <row r="363" spans="1:29">
      <c r="A363" s="67">
        <v>311</v>
      </c>
      <c r="B363" s="74" t="s">
        <v>287</v>
      </c>
      <c r="C363" s="125" t="s">
        <v>365</v>
      </c>
      <c r="D363" s="387">
        <f t="shared" si="81"/>
        <v>0</v>
      </c>
      <c r="E363" s="104">
        <f t="shared" si="92"/>
        <v>4</v>
      </c>
      <c r="F363" s="83">
        <f t="shared" si="83"/>
        <v>1241.694</v>
      </c>
      <c r="G363" s="83">
        <f t="shared" si="84"/>
        <v>0</v>
      </c>
      <c r="H363" s="483">
        <f t="shared" si="85"/>
        <v>0</v>
      </c>
      <c r="I363" s="83">
        <f>+'Costo adq'!C351*$I$1</f>
        <v>89467.535999999993</v>
      </c>
      <c r="J363" s="83">
        <f t="shared" si="89"/>
        <v>0</v>
      </c>
      <c r="K363" s="358">
        <f t="shared" si="94"/>
        <v>0</v>
      </c>
      <c r="L363" s="54">
        <f>VLOOKUP(A363,'Precios oferta'!$A$30:$U$436,$B$5,FALSE)</f>
        <v>119365.4512</v>
      </c>
      <c r="M363" s="48">
        <f>VLOOKUP(A363,'Precios piso'!$A$30:$U$436,$B$5,FALSE)</f>
        <v>1655.5920000000001</v>
      </c>
      <c r="N363" s="105">
        <f t="shared" si="86"/>
        <v>0.9861300570361351</v>
      </c>
      <c r="O363" s="131">
        <f t="shared" si="93"/>
        <v>1456.9209600000002</v>
      </c>
      <c r="P363" s="388">
        <f t="shared" si="90"/>
        <v>0.9877944501917989</v>
      </c>
      <c r="Q363" s="131">
        <f t="shared" si="88"/>
        <v>1324.4736</v>
      </c>
      <c r="R363" s="105">
        <f t="shared" si="91"/>
        <v>0.9889040456289081</v>
      </c>
      <c r="S363" s="131">
        <f t="shared" si="78"/>
        <v>1241.694</v>
      </c>
      <c r="T363" s="94">
        <f t="shared" si="79"/>
        <v>0.98959754277710132</v>
      </c>
      <c r="V363" s="82"/>
      <c r="W363" s="504">
        <v>315</v>
      </c>
      <c r="X363" s="506" t="s">
        <v>962</v>
      </c>
      <c r="Y363" s="508">
        <v>0</v>
      </c>
      <c r="Z363" s="403">
        <v>0</v>
      </c>
      <c r="AA363" s="407">
        <f t="shared" si="80"/>
        <v>0.98777600826410705</v>
      </c>
      <c r="AB363" s="411"/>
      <c r="AC363" s="446"/>
    </row>
    <row r="364" spans="1:29">
      <c r="A364" s="67">
        <v>312</v>
      </c>
      <c r="B364" s="74" t="s">
        <v>288</v>
      </c>
      <c r="C364" s="125" t="s">
        <v>365</v>
      </c>
      <c r="D364" s="387">
        <f t="shared" si="81"/>
        <v>0</v>
      </c>
      <c r="E364" s="104">
        <f t="shared" si="92"/>
        <v>4</v>
      </c>
      <c r="F364" s="83">
        <f t="shared" si="83"/>
        <v>1241.694</v>
      </c>
      <c r="G364" s="83">
        <f t="shared" si="84"/>
        <v>0</v>
      </c>
      <c r="H364" s="483">
        <f t="shared" si="85"/>
        <v>0</v>
      </c>
      <c r="I364" s="83">
        <f>+'Costo adq'!C352*$I$1</f>
        <v>89467.535999999993</v>
      </c>
      <c r="J364" s="83">
        <f t="shared" si="89"/>
        <v>0</v>
      </c>
      <c r="K364" s="358">
        <f t="shared" si="94"/>
        <v>0</v>
      </c>
      <c r="L364" s="54">
        <f>VLOOKUP(A364,'Precios oferta'!$A$30:$U$436,$B$5,FALSE)</f>
        <v>119204.80959999999</v>
      </c>
      <c r="M364" s="48">
        <f>VLOOKUP(A364,'Precios piso'!$A$30:$U$436,$B$5,FALSE)</f>
        <v>1655.5920000000001</v>
      </c>
      <c r="N364" s="105">
        <f t="shared" si="86"/>
        <v>0.98611136576153724</v>
      </c>
      <c r="O364" s="131">
        <f t="shared" si="93"/>
        <v>1456.9209600000002</v>
      </c>
      <c r="P364" s="388">
        <f t="shared" si="90"/>
        <v>0.98777800187015274</v>
      </c>
      <c r="Q364" s="131">
        <f t="shared" si="88"/>
        <v>1324.4736</v>
      </c>
      <c r="R364" s="105">
        <f t="shared" si="91"/>
        <v>0.98888909260922975</v>
      </c>
      <c r="S364" s="131">
        <f t="shared" si="78"/>
        <v>1241.694</v>
      </c>
      <c r="T364" s="94">
        <f t="shared" si="79"/>
        <v>0.98958352432115293</v>
      </c>
      <c r="V364" s="82"/>
      <c r="W364" s="504">
        <v>316</v>
      </c>
      <c r="X364" s="506" t="s">
        <v>963</v>
      </c>
      <c r="Y364" s="508">
        <v>0</v>
      </c>
      <c r="Z364" s="403">
        <v>0</v>
      </c>
      <c r="AA364" s="407">
        <f t="shared" si="80"/>
        <v>0.9877849462365591</v>
      </c>
      <c r="AB364" s="411"/>
      <c r="AC364" s="446"/>
    </row>
    <row r="365" spans="1:29">
      <c r="A365" s="67">
        <v>313</v>
      </c>
      <c r="B365" s="74" t="s">
        <v>289</v>
      </c>
      <c r="C365" s="125" t="s">
        <v>365</v>
      </c>
      <c r="D365" s="387">
        <f t="shared" si="81"/>
        <v>0</v>
      </c>
      <c r="E365" s="104">
        <f t="shared" si="92"/>
        <v>4</v>
      </c>
      <c r="F365" s="83">
        <f t="shared" si="83"/>
        <v>1862.1311999999998</v>
      </c>
      <c r="G365" s="83">
        <f t="shared" si="84"/>
        <v>0</v>
      </c>
      <c r="H365" s="483">
        <f t="shared" si="85"/>
        <v>0</v>
      </c>
      <c r="I365" s="83">
        <f>+'Costo adq'!C353*$I$1</f>
        <v>76878.48</v>
      </c>
      <c r="J365" s="83">
        <f t="shared" si="89"/>
        <v>0</v>
      </c>
      <c r="K365" s="358">
        <f t="shared" si="94"/>
        <v>0</v>
      </c>
      <c r="L365" s="54">
        <f>VLOOKUP(A365,'Precios oferta'!$A$30:$U$436,$B$5,FALSE)</f>
        <v>152432.48639999999</v>
      </c>
      <c r="M365" s="48">
        <f>VLOOKUP(A365,'Precios piso'!$A$30:$U$436,$B$5,FALSE)</f>
        <v>2482.8415999999997</v>
      </c>
      <c r="N365" s="105">
        <f t="shared" si="86"/>
        <v>0.9837118605184676</v>
      </c>
      <c r="O365" s="131">
        <f t="shared" si="93"/>
        <v>2184.9006079999999</v>
      </c>
      <c r="P365" s="388">
        <f t="shared" si="90"/>
        <v>0.98566643725625147</v>
      </c>
      <c r="Q365" s="131">
        <f t="shared" si="88"/>
        <v>1986.2732799999999</v>
      </c>
      <c r="R365" s="105">
        <f t="shared" si="91"/>
        <v>0.98696948841477405</v>
      </c>
      <c r="S365" s="131">
        <f t="shared" si="78"/>
        <v>1862.1311999999998</v>
      </c>
      <c r="T365" s="94">
        <f t="shared" si="79"/>
        <v>0.9877838953888507</v>
      </c>
      <c r="V365" s="82"/>
      <c r="W365" s="504">
        <v>317</v>
      </c>
      <c r="X365" s="506" t="s">
        <v>964</v>
      </c>
      <c r="Y365" s="508">
        <v>0</v>
      </c>
      <c r="Z365" s="403">
        <v>0</v>
      </c>
      <c r="AA365" s="407">
        <f t="shared" si="80"/>
        <v>0.98577879820523873</v>
      </c>
      <c r="AB365" s="411"/>
      <c r="AC365" s="446"/>
    </row>
    <row r="366" spans="1:29">
      <c r="A366" s="67">
        <v>314</v>
      </c>
      <c r="B366" s="74" t="s">
        <v>290</v>
      </c>
      <c r="C366" s="125" t="s">
        <v>365</v>
      </c>
      <c r="D366" s="387">
        <f t="shared" si="81"/>
        <v>0</v>
      </c>
      <c r="E366" s="104">
        <f t="shared" si="92"/>
        <v>4</v>
      </c>
      <c r="F366" s="83">
        <f t="shared" si="83"/>
        <v>1862.1311999999998</v>
      </c>
      <c r="G366" s="83">
        <f t="shared" si="84"/>
        <v>0</v>
      </c>
      <c r="H366" s="483">
        <f t="shared" si="85"/>
        <v>0</v>
      </c>
      <c r="I366" s="83">
        <f>+'Costo adq'!C354*$I$1</f>
        <v>76878.48</v>
      </c>
      <c r="J366" s="83">
        <f t="shared" si="89"/>
        <v>0</v>
      </c>
      <c r="K366" s="358">
        <f t="shared" si="94"/>
        <v>0</v>
      </c>
      <c r="L366" s="54">
        <f>VLOOKUP(A366,'Precios oferta'!$A$30:$U$436,$B$5,FALSE)</f>
        <v>152457.6208</v>
      </c>
      <c r="M366" s="48">
        <f>VLOOKUP(A366,'Precios piso'!$A$30:$U$436,$B$5,FALSE)</f>
        <v>2482.8415999999997</v>
      </c>
      <c r="N366" s="105">
        <f t="shared" si="86"/>
        <v>0.98371454580642381</v>
      </c>
      <c r="O366" s="131">
        <f t="shared" si="93"/>
        <v>2184.9006079999999</v>
      </c>
      <c r="P366" s="388">
        <f t="shared" si="90"/>
        <v>0.98566880030965298</v>
      </c>
      <c r="Q366" s="131">
        <f t="shared" si="88"/>
        <v>1986.2732799999999</v>
      </c>
      <c r="R366" s="105">
        <f t="shared" si="91"/>
        <v>0.98697163664513909</v>
      </c>
      <c r="S366" s="131">
        <f t="shared" si="78"/>
        <v>1862.1311999999998</v>
      </c>
      <c r="T366" s="94">
        <f t="shared" si="79"/>
        <v>0.98778590935481791</v>
      </c>
      <c r="V366" s="82"/>
      <c r="W366" s="504">
        <v>318</v>
      </c>
      <c r="X366" s="506" t="s">
        <v>965</v>
      </c>
      <c r="Y366" s="508">
        <v>0</v>
      </c>
      <c r="Z366" s="403">
        <v>0</v>
      </c>
      <c r="AA366" s="407">
        <f t="shared" si="80"/>
        <v>0.98587430396684939</v>
      </c>
      <c r="AB366" s="411"/>
      <c r="AC366" s="446"/>
    </row>
    <row r="367" spans="1:29">
      <c r="A367" s="67">
        <v>315</v>
      </c>
      <c r="B367" s="74" t="s">
        <v>291</v>
      </c>
      <c r="C367" s="125" t="s">
        <v>365</v>
      </c>
      <c r="D367" s="387">
        <f t="shared" si="81"/>
        <v>0</v>
      </c>
      <c r="E367" s="104">
        <f t="shared" si="92"/>
        <v>4</v>
      </c>
      <c r="F367" s="83">
        <f t="shared" si="83"/>
        <v>1862.1311999999998</v>
      </c>
      <c r="G367" s="83">
        <f t="shared" si="84"/>
        <v>0</v>
      </c>
      <c r="H367" s="483">
        <f t="shared" si="85"/>
        <v>0</v>
      </c>
      <c r="I367" s="83">
        <f>+'Costo adq'!C355*$I$1</f>
        <v>76878.48</v>
      </c>
      <c r="J367" s="83">
        <f t="shared" si="89"/>
        <v>0</v>
      </c>
      <c r="K367" s="358">
        <f t="shared" si="94"/>
        <v>0</v>
      </c>
      <c r="L367" s="54">
        <f>VLOOKUP(A367,'Precios oferta'!$A$30:$U$436,$B$5,FALSE)</f>
        <v>152334.13440000001</v>
      </c>
      <c r="M367" s="48">
        <f>VLOOKUP(A367,'Precios piso'!$A$30:$U$436,$B$5,FALSE)</f>
        <v>2482.8415999999997</v>
      </c>
      <c r="N367" s="105">
        <f t="shared" si="86"/>
        <v>0.98370134435214274</v>
      </c>
      <c r="O367" s="131">
        <f t="shared" si="93"/>
        <v>2184.9006079999999</v>
      </c>
      <c r="P367" s="388">
        <f t="shared" si="90"/>
        <v>0.9856571830298857</v>
      </c>
      <c r="Q367" s="131">
        <f t="shared" si="88"/>
        <v>1986.2732799999999</v>
      </c>
      <c r="R367" s="105">
        <f t="shared" si="91"/>
        <v>0.98696107548171419</v>
      </c>
      <c r="S367" s="131">
        <f t="shared" si="78"/>
        <v>1862.1311999999998</v>
      </c>
      <c r="T367" s="94">
        <f t="shared" si="79"/>
        <v>0.98777600826410705</v>
      </c>
      <c r="V367" s="82"/>
      <c r="W367" s="504">
        <v>319</v>
      </c>
      <c r="X367" s="506" t="s">
        <v>966</v>
      </c>
      <c r="Y367" s="508">
        <v>0</v>
      </c>
      <c r="Z367" s="403">
        <v>0</v>
      </c>
      <c r="AA367" s="407">
        <f t="shared" si="80"/>
        <v>0.98580670811045246</v>
      </c>
      <c r="AB367" s="411"/>
      <c r="AC367" s="446"/>
    </row>
    <row r="368" spans="1:29">
      <c r="A368" s="67">
        <v>316</v>
      </c>
      <c r="B368" s="74" t="s">
        <v>292</v>
      </c>
      <c r="C368" s="125" t="s">
        <v>365</v>
      </c>
      <c r="D368" s="387">
        <f t="shared" si="81"/>
        <v>0</v>
      </c>
      <c r="E368" s="104">
        <f t="shared" si="92"/>
        <v>4</v>
      </c>
      <c r="F368" s="83">
        <f t="shared" si="83"/>
        <v>1862.1311999999998</v>
      </c>
      <c r="G368" s="83">
        <f t="shared" si="84"/>
        <v>0</v>
      </c>
      <c r="H368" s="483">
        <f t="shared" si="85"/>
        <v>0</v>
      </c>
      <c r="I368" s="83">
        <f>+'Costo adq'!C356*$I$1</f>
        <v>76878.48</v>
      </c>
      <c r="J368" s="83">
        <f t="shared" si="89"/>
        <v>0</v>
      </c>
      <c r="K368" s="358">
        <f t="shared" si="94"/>
        <v>0</v>
      </c>
      <c r="L368" s="54">
        <f>VLOOKUP(A368,'Precios oferta'!$A$30:$U$436,$B$5,FALSE)</f>
        <v>152445.6</v>
      </c>
      <c r="M368" s="48">
        <f>VLOOKUP(A368,'Precios piso'!$A$30:$U$436,$B$5,FALSE)</f>
        <v>2482.8415999999997</v>
      </c>
      <c r="N368" s="105">
        <f t="shared" si="86"/>
        <v>0.98371326164874551</v>
      </c>
      <c r="O368" s="131">
        <f t="shared" si="93"/>
        <v>2184.9006079999999</v>
      </c>
      <c r="P368" s="388">
        <f t="shared" si="90"/>
        <v>0.98566767025089608</v>
      </c>
      <c r="Q368" s="131">
        <f t="shared" si="88"/>
        <v>1986.2732799999999</v>
      </c>
      <c r="R368" s="105">
        <f t="shared" si="91"/>
        <v>0.98697060931899638</v>
      </c>
      <c r="S368" s="131">
        <f t="shared" si="78"/>
        <v>1862.1311999999998</v>
      </c>
      <c r="T368" s="94">
        <f t="shared" si="79"/>
        <v>0.9877849462365591</v>
      </c>
      <c r="V368" s="82"/>
      <c r="W368" s="504">
        <v>320</v>
      </c>
      <c r="X368" s="506" t="s">
        <v>967</v>
      </c>
      <c r="Y368" s="508">
        <v>0</v>
      </c>
      <c r="Z368" s="403">
        <v>0</v>
      </c>
      <c r="AA368" s="407">
        <f t="shared" si="80"/>
        <v>0.98581660183549857</v>
      </c>
      <c r="AB368" s="411"/>
      <c r="AC368" s="446"/>
    </row>
    <row r="369" spans="1:29">
      <c r="A369" s="67">
        <v>317</v>
      </c>
      <c r="B369" s="74" t="s">
        <v>293</v>
      </c>
      <c r="C369" s="125" t="s">
        <v>365</v>
      </c>
      <c r="D369" s="387">
        <f t="shared" si="81"/>
        <v>0</v>
      </c>
      <c r="E369" s="104">
        <f t="shared" si="92"/>
        <v>4</v>
      </c>
      <c r="F369" s="83">
        <f t="shared" si="83"/>
        <v>4291.4256000000005</v>
      </c>
      <c r="G369" s="83">
        <f t="shared" si="84"/>
        <v>0</v>
      </c>
      <c r="H369" s="483">
        <f t="shared" si="85"/>
        <v>0</v>
      </c>
      <c r="I369" s="83">
        <f>+'Costo adq'!C357*$I$1</f>
        <v>133086.64799999999</v>
      </c>
      <c r="J369" s="83">
        <f t="shared" si="89"/>
        <v>0</v>
      </c>
      <c r="K369" s="358">
        <f t="shared" si="94"/>
        <v>0</v>
      </c>
      <c r="L369" s="54">
        <f>VLOOKUP(A369,'Precios oferta'!$A$30:$U$436,$B$5,FALSE)</f>
        <v>301762.51360000001</v>
      </c>
      <c r="M369" s="48">
        <f>VLOOKUP(A369,'Precios piso'!$A$30:$U$436,$B$5,FALSE)</f>
        <v>5721.9008000000003</v>
      </c>
      <c r="N369" s="105">
        <f t="shared" si="86"/>
        <v>0.98103839760698497</v>
      </c>
      <c r="O369" s="131">
        <f t="shared" si="93"/>
        <v>5035.272704</v>
      </c>
      <c r="P369" s="388">
        <f t="shared" si="90"/>
        <v>0.98331378989414675</v>
      </c>
      <c r="Q369" s="131">
        <f t="shared" si="88"/>
        <v>4577.5206400000006</v>
      </c>
      <c r="R369" s="105">
        <f t="shared" si="91"/>
        <v>0.98483071808558797</v>
      </c>
      <c r="S369" s="131">
        <f t="shared" si="78"/>
        <v>4291.4256000000005</v>
      </c>
      <c r="T369" s="94">
        <f t="shared" si="79"/>
        <v>0.98577879820523873</v>
      </c>
      <c r="V369" s="82"/>
      <c r="W369" s="504">
        <v>321</v>
      </c>
      <c r="X369" s="506" t="s">
        <v>968</v>
      </c>
      <c r="Y369" s="508">
        <v>0</v>
      </c>
      <c r="Z369" s="403">
        <v>0</v>
      </c>
      <c r="AA369" s="407">
        <f t="shared" si="80"/>
        <v>0.98338685156505301</v>
      </c>
      <c r="AB369" s="411"/>
      <c r="AC369" s="446"/>
    </row>
    <row r="370" spans="1:29">
      <c r="A370" s="67">
        <v>318</v>
      </c>
      <c r="B370" s="74" t="s">
        <v>294</v>
      </c>
      <c r="C370" s="125" t="s">
        <v>365</v>
      </c>
      <c r="D370" s="387">
        <f t="shared" si="81"/>
        <v>0</v>
      </c>
      <c r="E370" s="104">
        <f t="shared" si="92"/>
        <v>4</v>
      </c>
      <c r="F370" s="83">
        <f t="shared" si="83"/>
        <v>4291.4256000000005</v>
      </c>
      <c r="G370" s="83">
        <f t="shared" si="84"/>
        <v>0</v>
      </c>
      <c r="H370" s="483">
        <f t="shared" si="85"/>
        <v>0</v>
      </c>
      <c r="I370" s="83">
        <f>+'Costo adq'!C358*$I$1</f>
        <v>133086.64799999999</v>
      </c>
      <c r="J370" s="83">
        <f t="shared" si="89"/>
        <v>0</v>
      </c>
      <c r="K370" s="358">
        <f t="shared" si="94"/>
        <v>0</v>
      </c>
      <c r="L370" s="54">
        <f>VLOOKUP(A370,'Precios oferta'!$A$30:$U$436,$B$5,FALSE)</f>
        <v>303802.77120000002</v>
      </c>
      <c r="M370" s="48">
        <f>VLOOKUP(A370,'Precios piso'!$A$30:$U$436,$B$5,FALSE)</f>
        <v>5721.9008000000003</v>
      </c>
      <c r="N370" s="105">
        <f t="shared" si="86"/>
        <v>0.98116573862246581</v>
      </c>
      <c r="O370" s="131">
        <f t="shared" si="93"/>
        <v>5035.272704</v>
      </c>
      <c r="P370" s="388">
        <f t="shared" si="90"/>
        <v>0.98342584998776994</v>
      </c>
      <c r="Q370" s="131">
        <f t="shared" si="88"/>
        <v>4577.5206400000006</v>
      </c>
      <c r="R370" s="105">
        <f t="shared" si="91"/>
        <v>0.98493259089797269</v>
      </c>
      <c r="S370" s="131">
        <f t="shared" ref="S370:S433" si="95">+M370-(M370*25%)</f>
        <v>4291.4256000000005</v>
      </c>
      <c r="T370" s="94">
        <f t="shared" ref="T370:T433" si="96">1-(S370/L370)</f>
        <v>0.98587430396684939</v>
      </c>
      <c r="V370" s="82"/>
      <c r="W370" s="504">
        <v>322</v>
      </c>
      <c r="X370" s="506" t="s">
        <v>969</v>
      </c>
      <c r="Y370" s="508">
        <v>0</v>
      </c>
      <c r="Z370" s="403">
        <v>0</v>
      </c>
      <c r="AA370" s="407">
        <f t="shared" ref="AA370:AA433" si="97">VLOOKUP(W370,$A$49:$T$459,$AB$48,FALSE)</f>
        <v>0.98344326317458874</v>
      </c>
      <c r="AB370" s="411"/>
      <c r="AC370" s="446"/>
    </row>
    <row r="371" spans="1:29">
      <c r="A371" s="67">
        <v>319</v>
      </c>
      <c r="B371" s="74" t="s">
        <v>295</v>
      </c>
      <c r="C371" s="125" t="s">
        <v>365</v>
      </c>
      <c r="D371" s="387">
        <f t="shared" si="81"/>
        <v>0</v>
      </c>
      <c r="E371" s="104">
        <f t="shared" si="92"/>
        <v>4</v>
      </c>
      <c r="F371" s="83">
        <f t="shared" si="83"/>
        <v>4291.4256000000005</v>
      </c>
      <c r="G371" s="83">
        <f t="shared" si="84"/>
        <v>0</v>
      </c>
      <c r="H371" s="483">
        <f t="shared" si="85"/>
        <v>0</v>
      </c>
      <c r="I371" s="83">
        <f>+'Costo adq'!C359*$I$1</f>
        <v>133086.64799999999</v>
      </c>
      <c r="J371" s="83">
        <f t="shared" si="89"/>
        <v>0</v>
      </c>
      <c r="K371" s="358">
        <f t="shared" si="94"/>
        <v>0</v>
      </c>
      <c r="L371" s="54">
        <f>VLOOKUP(A371,'Precios oferta'!$A$30:$U$436,$B$5,FALSE)</f>
        <v>302355.90399999998</v>
      </c>
      <c r="M371" s="48">
        <f>VLOOKUP(A371,'Precios piso'!$A$30:$U$436,$B$5,FALSE)</f>
        <v>5721.9008000000003</v>
      </c>
      <c r="N371" s="105">
        <f t="shared" si="86"/>
        <v>0.98107561081393668</v>
      </c>
      <c r="O371" s="131">
        <f t="shared" si="93"/>
        <v>5035.272704</v>
      </c>
      <c r="P371" s="388">
        <f t="shared" si="90"/>
        <v>0.98334653751626422</v>
      </c>
      <c r="Q371" s="131">
        <f t="shared" si="88"/>
        <v>4577.5206400000006</v>
      </c>
      <c r="R371" s="105">
        <f t="shared" si="91"/>
        <v>0.98486048865114939</v>
      </c>
      <c r="S371" s="131">
        <f t="shared" si="95"/>
        <v>4291.4256000000005</v>
      </c>
      <c r="T371" s="94">
        <f t="shared" si="96"/>
        <v>0.98580670811045246</v>
      </c>
      <c r="V371" s="82"/>
      <c r="W371" s="504">
        <v>323</v>
      </c>
      <c r="X371" s="506" t="s">
        <v>970</v>
      </c>
      <c r="Y371" s="508">
        <v>0</v>
      </c>
      <c r="Z371" s="403">
        <v>0</v>
      </c>
      <c r="AA371" s="407">
        <f t="shared" si="97"/>
        <v>0.98347396540027132</v>
      </c>
      <c r="AB371" s="411"/>
      <c r="AC371" s="446"/>
    </row>
    <row r="372" spans="1:29">
      <c r="A372" s="67">
        <v>320</v>
      </c>
      <c r="B372" s="74" t="s">
        <v>296</v>
      </c>
      <c r="C372" s="125" t="s">
        <v>365</v>
      </c>
      <c r="D372" s="387">
        <f t="shared" si="81"/>
        <v>0</v>
      </c>
      <c r="E372" s="104">
        <f t="shared" si="92"/>
        <v>4</v>
      </c>
      <c r="F372" s="83">
        <f t="shared" si="83"/>
        <v>4291.4256000000005</v>
      </c>
      <c r="G372" s="83">
        <f t="shared" si="84"/>
        <v>0</v>
      </c>
      <c r="H372" s="483">
        <f t="shared" si="85"/>
        <v>0</v>
      </c>
      <c r="I372" s="83">
        <f>+'Costo adq'!C360*$I$1</f>
        <v>133086.64799999999</v>
      </c>
      <c r="J372" s="83">
        <f t="shared" si="89"/>
        <v>0</v>
      </c>
      <c r="K372" s="358">
        <f t="shared" si="94"/>
        <v>0</v>
      </c>
      <c r="L372" s="54">
        <f>VLOOKUP(A372,'Precios oferta'!$A$30:$U$436,$B$5,FALSE)</f>
        <v>302566.81439999997</v>
      </c>
      <c r="M372" s="48">
        <f>VLOOKUP(A372,'Precios piso'!$A$30:$U$436,$B$5,FALSE)</f>
        <v>5721.9008000000003</v>
      </c>
      <c r="N372" s="105">
        <f t="shared" si="86"/>
        <v>0.98108880244733143</v>
      </c>
      <c r="O372" s="131">
        <f t="shared" si="93"/>
        <v>5035.272704</v>
      </c>
      <c r="P372" s="388">
        <f t="shared" si="90"/>
        <v>0.98335814615365169</v>
      </c>
      <c r="Q372" s="131">
        <f t="shared" si="88"/>
        <v>4577.5206400000006</v>
      </c>
      <c r="R372" s="105">
        <f t="shared" si="91"/>
        <v>0.98487104195786512</v>
      </c>
      <c r="S372" s="131">
        <f t="shared" si="95"/>
        <v>4291.4256000000005</v>
      </c>
      <c r="T372" s="94">
        <f t="shared" si="96"/>
        <v>0.98581660183549857</v>
      </c>
      <c r="V372" s="82"/>
      <c r="W372" s="504">
        <v>324</v>
      </c>
      <c r="X372" s="506" t="s">
        <v>971</v>
      </c>
      <c r="Y372" s="508">
        <v>0</v>
      </c>
      <c r="Z372" s="403">
        <v>0</v>
      </c>
      <c r="AA372" s="407">
        <f t="shared" si="97"/>
        <v>0.98846779596133605</v>
      </c>
      <c r="AB372" s="411"/>
      <c r="AC372" s="446"/>
    </row>
    <row r="373" spans="1:29">
      <c r="A373" s="67">
        <v>321</v>
      </c>
      <c r="B373" s="74" t="s">
        <v>297</v>
      </c>
      <c r="C373" s="125" t="s">
        <v>365</v>
      </c>
      <c r="D373" s="387">
        <f t="shared" si="81"/>
        <v>0</v>
      </c>
      <c r="E373" s="104">
        <f t="shared" si="92"/>
        <v>4</v>
      </c>
      <c r="F373" s="83">
        <f t="shared" si="83"/>
        <v>12777.564</v>
      </c>
      <c r="G373" s="83">
        <f t="shared" si="84"/>
        <v>0</v>
      </c>
      <c r="H373" s="483">
        <f t="shared" si="85"/>
        <v>0</v>
      </c>
      <c r="I373" s="83">
        <f>+'Costo adq'!C361*$I$1</f>
        <v>855574.97600000002</v>
      </c>
      <c r="J373" s="83">
        <f t="shared" si="89"/>
        <v>0</v>
      </c>
      <c r="K373" s="358">
        <f t="shared" si="94"/>
        <v>0</v>
      </c>
      <c r="L373" s="54">
        <f>VLOOKUP(A373,'Precios oferta'!$A$30:$U$436,$B$5,FALSE)</f>
        <v>769123.56799999997</v>
      </c>
      <c r="M373" s="48">
        <f>VLOOKUP(A373,'Precios piso'!$A$30:$U$436,$B$5,FALSE)</f>
        <v>17036.752</v>
      </c>
      <c r="N373" s="105">
        <f t="shared" si="86"/>
        <v>0.97784913542007079</v>
      </c>
      <c r="O373" s="131">
        <f t="shared" si="93"/>
        <v>14992.341760000001</v>
      </c>
      <c r="P373" s="388">
        <f t="shared" si="90"/>
        <v>0.98050723916966231</v>
      </c>
      <c r="Q373" s="131">
        <f t="shared" si="88"/>
        <v>13629.401600000001</v>
      </c>
      <c r="R373" s="105">
        <f t="shared" si="91"/>
        <v>0.98227930833605659</v>
      </c>
      <c r="S373" s="131">
        <f t="shared" si="95"/>
        <v>12777.564</v>
      </c>
      <c r="T373" s="94">
        <f t="shared" si="96"/>
        <v>0.98338685156505301</v>
      </c>
      <c r="V373" s="82"/>
      <c r="W373" s="504">
        <v>325</v>
      </c>
      <c r="X373" s="506" t="s">
        <v>972</v>
      </c>
      <c r="Y373" s="508">
        <v>0</v>
      </c>
      <c r="Z373" s="403">
        <v>0</v>
      </c>
      <c r="AA373" s="407">
        <f t="shared" si="97"/>
        <v>0.98845651092338638</v>
      </c>
      <c r="AB373" s="411"/>
      <c r="AC373" s="446"/>
    </row>
    <row r="374" spans="1:29">
      <c r="A374" s="67">
        <v>322</v>
      </c>
      <c r="B374" s="74" t="s">
        <v>298</v>
      </c>
      <c r="C374" s="125" t="s">
        <v>365</v>
      </c>
      <c r="D374" s="387">
        <f t="shared" si="81"/>
        <v>0</v>
      </c>
      <c r="E374" s="104">
        <f t="shared" si="92"/>
        <v>4</v>
      </c>
      <c r="F374" s="83">
        <f t="shared" si="83"/>
        <v>12777.564</v>
      </c>
      <c r="G374" s="83">
        <f t="shared" si="84"/>
        <v>0</v>
      </c>
      <c r="H374" s="483">
        <f t="shared" si="85"/>
        <v>0</v>
      </c>
      <c r="I374" s="83">
        <f>+'Costo adq'!C362*$I$1</f>
        <v>855574.97600000002</v>
      </c>
      <c r="J374" s="83">
        <f t="shared" si="89"/>
        <v>0</v>
      </c>
      <c r="K374" s="358">
        <f t="shared" si="94"/>
        <v>0</v>
      </c>
      <c r="L374" s="54">
        <f>VLOOKUP(A374,'Precios oferta'!$A$30:$U$436,$B$5,FALSE)</f>
        <v>771744.10239999997</v>
      </c>
      <c r="M374" s="48">
        <f>VLOOKUP(A374,'Precios piso'!$A$30:$U$436,$B$5,FALSE)</f>
        <v>17036.752</v>
      </c>
      <c r="N374" s="105">
        <f t="shared" si="86"/>
        <v>0.97792435089945173</v>
      </c>
      <c r="O374" s="131">
        <f t="shared" si="93"/>
        <v>14992.341760000001</v>
      </c>
      <c r="P374" s="388">
        <f t="shared" si="90"/>
        <v>0.98057342879151754</v>
      </c>
      <c r="Q374" s="131">
        <f t="shared" si="88"/>
        <v>13629.401600000001</v>
      </c>
      <c r="R374" s="105">
        <f t="shared" si="91"/>
        <v>0.98233948071956134</v>
      </c>
      <c r="S374" s="131">
        <f t="shared" si="95"/>
        <v>12777.564</v>
      </c>
      <c r="T374" s="94">
        <f t="shared" si="96"/>
        <v>0.98344326317458874</v>
      </c>
      <c r="V374" s="82"/>
      <c r="W374" s="504">
        <v>326</v>
      </c>
      <c r="X374" s="506" t="s">
        <v>973</v>
      </c>
      <c r="Y374" s="508">
        <v>0</v>
      </c>
      <c r="Z374" s="403">
        <v>0</v>
      </c>
      <c r="AA374" s="407">
        <f t="shared" si="97"/>
        <v>0.98849952485432624</v>
      </c>
      <c r="AB374" s="411"/>
      <c r="AC374" s="446"/>
    </row>
    <row r="375" spans="1:29">
      <c r="A375" s="67">
        <v>323</v>
      </c>
      <c r="B375" s="74" t="s">
        <v>299</v>
      </c>
      <c r="C375" s="125" t="s">
        <v>365</v>
      </c>
      <c r="D375" s="387">
        <f t="shared" si="81"/>
        <v>0</v>
      </c>
      <c r="E375" s="104">
        <f t="shared" si="92"/>
        <v>4</v>
      </c>
      <c r="F375" s="83">
        <f t="shared" si="83"/>
        <v>12777.564</v>
      </c>
      <c r="G375" s="83">
        <f t="shared" si="84"/>
        <v>0</v>
      </c>
      <c r="H375" s="483">
        <f t="shared" si="85"/>
        <v>0</v>
      </c>
      <c r="I375" s="83">
        <f>+'Costo adq'!C363*$I$1</f>
        <v>855574.97600000002</v>
      </c>
      <c r="J375" s="83">
        <f t="shared" si="89"/>
        <v>0</v>
      </c>
      <c r="K375" s="358">
        <f t="shared" si="94"/>
        <v>0</v>
      </c>
      <c r="L375" s="54">
        <f>VLOOKUP(A375,'Precios oferta'!$A$30:$U$436,$B$5,FALSE)</f>
        <v>773177.85600000003</v>
      </c>
      <c r="M375" s="48">
        <f>VLOOKUP(A375,'Precios piso'!$A$30:$U$436,$B$5,FALSE)</f>
        <v>17036.752</v>
      </c>
      <c r="N375" s="105">
        <f t="shared" si="86"/>
        <v>0.9779652872003618</v>
      </c>
      <c r="O375" s="131">
        <f t="shared" si="93"/>
        <v>14992.341760000001</v>
      </c>
      <c r="P375" s="388">
        <f t="shared" si="90"/>
        <v>0.98060945273631839</v>
      </c>
      <c r="Q375" s="131">
        <f t="shared" si="88"/>
        <v>13629.401600000001</v>
      </c>
      <c r="R375" s="105">
        <f t="shared" si="91"/>
        <v>0.98237222976028948</v>
      </c>
      <c r="S375" s="131">
        <f t="shared" si="95"/>
        <v>12777.564</v>
      </c>
      <c r="T375" s="94">
        <f t="shared" si="96"/>
        <v>0.98347396540027132</v>
      </c>
      <c r="V375" s="82"/>
      <c r="W375" s="504">
        <v>327</v>
      </c>
      <c r="X375" s="506" t="s">
        <v>974</v>
      </c>
      <c r="Y375" s="508">
        <v>0</v>
      </c>
      <c r="Z375" s="403">
        <v>0</v>
      </c>
      <c r="AA375" s="407">
        <f t="shared" si="97"/>
        <v>0.99060305484342648</v>
      </c>
      <c r="AB375" s="411"/>
      <c r="AC375" s="446"/>
    </row>
    <row r="376" spans="1:29">
      <c r="A376" s="67">
        <v>324</v>
      </c>
      <c r="B376" s="74" t="s">
        <v>300</v>
      </c>
      <c r="C376" s="125" t="s">
        <v>365</v>
      </c>
      <c r="D376" s="387">
        <f t="shared" si="81"/>
        <v>0</v>
      </c>
      <c r="E376" s="104">
        <f t="shared" si="92"/>
        <v>4</v>
      </c>
      <c r="F376" s="83">
        <f t="shared" si="83"/>
        <v>12246.4632</v>
      </c>
      <c r="G376" s="83">
        <f t="shared" si="84"/>
        <v>0</v>
      </c>
      <c r="H376" s="483">
        <f t="shared" si="85"/>
        <v>0</v>
      </c>
      <c r="I376" s="83">
        <f>+'Costo adq'!C364*$I$1</f>
        <v>409035.04</v>
      </c>
      <c r="J376" s="83">
        <f t="shared" si="89"/>
        <v>0</v>
      </c>
      <c r="K376" s="358">
        <f t="shared" si="94"/>
        <v>0</v>
      </c>
      <c r="L376" s="54">
        <f>VLOOKUP(A376,'Precios oferta'!$A$30:$U$436,$B$5,FALSE)</f>
        <v>1061936.0496</v>
      </c>
      <c r="M376" s="48">
        <f>VLOOKUP(A376,'Precios piso'!$A$30:$U$436,$B$5,FALSE)</f>
        <v>16328.6176</v>
      </c>
      <c r="N376" s="105">
        <f t="shared" si="86"/>
        <v>0.98462372794844799</v>
      </c>
      <c r="O376" s="131">
        <f t="shared" si="93"/>
        <v>14369.183487999999</v>
      </c>
      <c r="P376" s="388">
        <f t="shared" si="90"/>
        <v>0.98646888059463422</v>
      </c>
      <c r="Q376" s="131">
        <f t="shared" si="88"/>
        <v>13062.89408</v>
      </c>
      <c r="R376" s="105">
        <f t="shared" si="91"/>
        <v>0.98769898235875841</v>
      </c>
      <c r="S376" s="131">
        <f t="shared" si="95"/>
        <v>12246.4632</v>
      </c>
      <c r="T376" s="94">
        <f t="shared" si="96"/>
        <v>0.98846779596133605</v>
      </c>
      <c r="V376" s="82"/>
      <c r="W376" s="504">
        <v>328</v>
      </c>
      <c r="X376" s="506" t="s">
        <v>975</v>
      </c>
      <c r="Y376" s="508">
        <v>0</v>
      </c>
      <c r="Z376" s="403">
        <v>0</v>
      </c>
      <c r="AA376" s="407">
        <f t="shared" si="97"/>
        <v>0.9906561481593823</v>
      </c>
      <c r="AB376" s="411"/>
      <c r="AC376" s="446"/>
    </row>
    <row r="377" spans="1:29">
      <c r="A377" s="67">
        <v>325</v>
      </c>
      <c r="B377" s="74" t="s">
        <v>301</v>
      </c>
      <c r="C377" s="125" t="s">
        <v>365</v>
      </c>
      <c r="D377" s="387">
        <f t="shared" si="81"/>
        <v>0</v>
      </c>
      <c r="E377" s="104">
        <f t="shared" si="92"/>
        <v>4</v>
      </c>
      <c r="F377" s="83">
        <f t="shared" si="83"/>
        <v>12246.4632</v>
      </c>
      <c r="G377" s="83">
        <f t="shared" si="84"/>
        <v>0</v>
      </c>
      <c r="H377" s="483">
        <f t="shared" si="85"/>
        <v>0</v>
      </c>
      <c r="I377" s="83">
        <f>+'Costo adq'!C365*$I$1</f>
        <v>409035.04</v>
      </c>
      <c r="J377" s="83">
        <f t="shared" si="89"/>
        <v>0</v>
      </c>
      <c r="K377" s="358">
        <f t="shared" si="94"/>
        <v>0</v>
      </c>
      <c r="L377" s="54">
        <f>VLOOKUP(A377,'Precios oferta'!$A$30:$U$436,$B$5,FALSE)</f>
        <v>1060897.8895999999</v>
      </c>
      <c r="M377" s="48">
        <f>VLOOKUP(A377,'Precios piso'!$A$30:$U$436,$B$5,FALSE)</f>
        <v>16328.6176</v>
      </c>
      <c r="N377" s="105">
        <f t="shared" si="86"/>
        <v>0.98460868123118184</v>
      </c>
      <c r="O377" s="131">
        <f t="shared" si="93"/>
        <v>14369.183487999999</v>
      </c>
      <c r="P377" s="388">
        <f t="shared" si="90"/>
        <v>0.98645563948344006</v>
      </c>
      <c r="Q377" s="131">
        <f t="shared" si="88"/>
        <v>13062.89408</v>
      </c>
      <c r="R377" s="105">
        <f t="shared" si="91"/>
        <v>0.98768694498494547</v>
      </c>
      <c r="S377" s="131">
        <f t="shared" si="95"/>
        <v>12246.4632</v>
      </c>
      <c r="T377" s="94">
        <f t="shared" si="96"/>
        <v>0.98845651092338638</v>
      </c>
      <c r="V377" s="82"/>
      <c r="W377" s="504">
        <v>329</v>
      </c>
      <c r="X377" s="506" t="s">
        <v>976</v>
      </c>
      <c r="Y377" s="508">
        <v>0</v>
      </c>
      <c r="Z377" s="403">
        <v>0</v>
      </c>
      <c r="AA377" s="407">
        <f t="shared" si="97"/>
        <v>0.99060455651214696</v>
      </c>
      <c r="AB377" s="411"/>
      <c r="AC377" s="446"/>
    </row>
    <row r="378" spans="1:29">
      <c r="A378" s="67">
        <v>326</v>
      </c>
      <c r="B378" s="74" t="s">
        <v>302</v>
      </c>
      <c r="C378" s="125" t="s">
        <v>365</v>
      </c>
      <c r="D378" s="387">
        <f t="shared" si="81"/>
        <v>0</v>
      </c>
      <c r="E378" s="104">
        <f t="shared" si="92"/>
        <v>4</v>
      </c>
      <c r="F378" s="83">
        <f t="shared" si="83"/>
        <v>12246.4632</v>
      </c>
      <c r="G378" s="83">
        <f t="shared" si="84"/>
        <v>0</v>
      </c>
      <c r="H378" s="483">
        <f t="shared" si="85"/>
        <v>0</v>
      </c>
      <c r="I378" s="83">
        <f>+'Costo adq'!C366*$I$1</f>
        <v>409035.04</v>
      </c>
      <c r="J378" s="83">
        <f t="shared" si="89"/>
        <v>0</v>
      </c>
      <c r="K378" s="358">
        <f t="shared" si="94"/>
        <v>0</v>
      </c>
      <c r="L378" s="54">
        <f>VLOOKUP(A378,'Precios oferta'!$A$30:$U$436,$B$5,FALSE)</f>
        <v>1064865.8463999999</v>
      </c>
      <c r="M378" s="48">
        <f>VLOOKUP(A378,'Precios piso'!$A$30:$U$436,$B$5,FALSE)</f>
        <v>16328.6176</v>
      </c>
      <c r="N378" s="105">
        <f t="shared" si="86"/>
        <v>0.98466603313910173</v>
      </c>
      <c r="O378" s="131">
        <f t="shared" si="93"/>
        <v>14369.183487999999</v>
      </c>
      <c r="P378" s="388">
        <f t="shared" si="90"/>
        <v>0.98650610916240955</v>
      </c>
      <c r="Q378" s="131">
        <f t="shared" si="88"/>
        <v>13062.89408</v>
      </c>
      <c r="R378" s="105">
        <f t="shared" si="91"/>
        <v>0.98773282651128136</v>
      </c>
      <c r="S378" s="131">
        <f t="shared" si="95"/>
        <v>12246.4632</v>
      </c>
      <c r="T378" s="94">
        <f t="shared" si="96"/>
        <v>0.98849952485432624</v>
      </c>
      <c r="V378" s="82"/>
      <c r="W378" s="504">
        <v>330</v>
      </c>
      <c r="X378" s="506" t="s">
        <v>977</v>
      </c>
      <c r="Y378" s="508">
        <v>0</v>
      </c>
      <c r="Z378" s="403">
        <v>0</v>
      </c>
      <c r="AA378" s="407">
        <f t="shared" si="97"/>
        <v>0.98876835673158603</v>
      </c>
      <c r="AB378" s="411"/>
      <c r="AC378" s="446"/>
    </row>
    <row r="379" spans="1:29">
      <c r="A379" s="67">
        <v>327</v>
      </c>
      <c r="B379" s="74" t="s">
        <v>303</v>
      </c>
      <c r="C379" s="125" t="s">
        <v>365</v>
      </c>
      <c r="D379" s="387">
        <f t="shared" si="81"/>
        <v>0</v>
      </c>
      <c r="E379" s="104">
        <f t="shared" si="92"/>
        <v>4</v>
      </c>
      <c r="F379" s="83">
        <f t="shared" si="83"/>
        <v>22487.3652</v>
      </c>
      <c r="G379" s="83">
        <f t="shared" si="84"/>
        <v>0</v>
      </c>
      <c r="H379" s="483">
        <f t="shared" si="85"/>
        <v>0</v>
      </c>
      <c r="I379" s="83">
        <f>+'Costo adq'!C367*$I$1</f>
        <v>823479.44</v>
      </c>
      <c r="J379" s="83">
        <f t="shared" si="89"/>
        <v>0</v>
      </c>
      <c r="K379" s="358">
        <f t="shared" si="94"/>
        <v>0</v>
      </c>
      <c r="L379" s="54">
        <f>VLOOKUP(A379,'Precios oferta'!$A$30:$U$436,$B$5,FALSE)</f>
        <v>2393050.5951999999</v>
      </c>
      <c r="M379" s="48">
        <f>VLOOKUP(A379,'Precios piso'!$A$30:$U$436,$B$5,FALSE)</f>
        <v>29983.153599999998</v>
      </c>
      <c r="N379" s="105">
        <f t="shared" si="86"/>
        <v>0.98747073979123534</v>
      </c>
      <c r="O379" s="131">
        <f t="shared" si="93"/>
        <v>26385.175167999998</v>
      </c>
      <c r="P379" s="388">
        <f t="shared" si="90"/>
        <v>0.98897425101628711</v>
      </c>
      <c r="Q379" s="131">
        <f t="shared" si="88"/>
        <v>23986.522879999997</v>
      </c>
      <c r="R379" s="105">
        <f t="shared" si="91"/>
        <v>0.98997659183298825</v>
      </c>
      <c r="S379" s="131">
        <f t="shared" si="95"/>
        <v>22487.3652</v>
      </c>
      <c r="T379" s="94">
        <f t="shared" si="96"/>
        <v>0.99060305484342648</v>
      </c>
      <c r="V379" s="82"/>
      <c r="W379" s="504">
        <v>331</v>
      </c>
      <c r="X379" s="506" t="s">
        <v>978</v>
      </c>
      <c r="Y379" s="508">
        <v>0</v>
      </c>
      <c r="Z379" s="403">
        <v>0</v>
      </c>
      <c r="AA379" s="407">
        <f t="shared" si="97"/>
        <v>0.98873195141038928</v>
      </c>
      <c r="AB379" s="411"/>
      <c r="AC379" s="446"/>
    </row>
    <row r="380" spans="1:29">
      <c r="A380" s="67">
        <v>328</v>
      </c>
      <c r="B380" s="74" t="s">
        <v>304</v>
      </c>
      <c r="C380" s="125" t="s">
        <v>365</v>
      </c>
      <c r="D380" s="387">
        <f t="shared" si="81"/>
        <v>0</v>
      </c>
      <c r="E380" s="104">
        <f t="shared" si="92"/>
        <v>4</v>
      </c>
      <c r="F380" s="83">
        <f t="shared" si="83"/>
        <v>22487.3652</v>
      </c>
      <c r="G380" s="83">
        <f t="shared" si="84"/>
        <v>0</v>
      </c>
      <c r="H380" s="483">
        <f t="shared" si="85"/>
        <v>0</v>
      </c>
      <c r="I380" s="83">
        <f>+'Costo adq'!C368*$I$1</f>
        <v>823479.44</v>
      </c>
      <c r="J380" s="83">
        <f t="shared" si="89"/>
        <v>0</v>
      </c>
      <c r="K380" s="358">
        <f t="shared" si="94"/>
        <v>0</v>
      </c>
      <c r="L380" s="54">
        <f>VLOOKUP(A380,'Precios oferta'!$A$30:$U$436,$B$5,FALSE)</f>
        <v>2406648.3056000001</v>
      </c>
      <c r="M380" s="48">
        <f>VLOOKUP(A380,'Precios piso'!$A$30:$U$436,$B$5,FALSE)</f>
        <v>29983.153599999998</v>
      </c>
      <c r="N380" s="105">
        <f t="shared" si="86"/>
        <v>0.9875415308791764</v>
      </c>
      <c r="O380" s="131">
        <f t="shared" si="93"/>
        <v>26385.175167999998</v>
      </c>
      <c r="P380" s="388">
        <f t="shared" si="90"/>
        <v>0.98903654717367528</v>
      </c>
      <c r="Q380" s="131">
        <f t="shared" si="88"/>
        <v>23986.522879999997</v>
      </c>
      <c r="R380" s="105">
        <f t="shared" si="91"/>
        <v>0.9900332247033411</v>
      </c>
      <c r="S380" s="131">
        <f t="shared" si="95"/>
        <v>22487.3652</v>
      </c>
      <c r="T380" s="94">
        <f t="shared" si="96"/>
        <v>0.9906561481593823</v>
      </c>
      <c r="V380" s="82"/>
      <c r="W380" s="504">
        <v>332</v>
      </c>
      <c r="X380" s="506" t="s">
        <v>979</v>
      </c>
      <c r="Y380" s="508">
        <v>0</v>
      </c>
      <c r="Z380" s="403">
        <v>0</v>
      </c>
      <c r="AA380" s="407">
        <f t="shared" si="97"/>
        <v>0.98875017180946512</v>
      </c>
      <c r="AB380" s="411"/>
      <c r="AC380" s="446"/>
    </row>
    <row r="381" spans="1:29">
      <c r="A381" s="67">
        <v>329</v>
      </c>
      <c r="B381" s="74" t="s">
        <v>305</v>
      </c>
      <c r="C381" s="125" t="s">
        <v>365</v>
      </c>
      <c r="D381" s="387">
        <f t="shared" si="81"/>
        <v>0</v>
      </c>
      <c r="E381" s="104">
        <f t="shared" si="92"/>
        <v>4</v>
      </c>
      <c r="F381" s="83">
        <f t="shared" si="83"/>
        <v>22487.3652</v>
      </c>
      <c r="G381" s="83">
        <f t="shared" si="84"/>
        <v>0</v>
      </c>
      <c r="H381" s="483">
        <f t="shared" si="85"/>
        <v>0</v>
      </c>
      <c r="I381" s="83">
        <f>+'Costo adq'!C369*$I$1</f>
        <v>823479.44</v>
      </c>
      <c r="J381" s="83">
        <f t="shared" si="89"/>
        <v>0</v>
      </c>
      <c r="K381" s="358">
        <f t="shared" si="94"/>
        <v>0</v>
      </c>
      <c r="L381" s="54">
        <f>VLOOKUP(A381,'Precios oferta'!$A$30:$U$436,$B$5,FALSE)</f>
        <v>2393433.0751999998</v>
      </c>
      <c r="M381" s="48">
        <f>VLOOKUP(A381,'Precios piso'!$A$30:$U$436,$B$5,FALSE)</f>
        <v>29983.153599999998</v>
      </c>
      <c r="N381" s="105">
        <f t="shared" si="86"/>
        <v>0.98747274201619595</v>
      </c>
      <c r="O381" s="131">
        <f t="shared" si="93"/>
        <v>26385.175167999998</v>
      </c>
      <c r="P381" s="388">
        <f t="shared" si="90"/>
        <v>0.98897601297425242</v>
      </c>
      <c r="Q381" s="131">
        <f t="shared" si="88"/>
        <v>23986.522879999997</v>
      </c>
      <c r="R381" s="105">
        <f t="shared" si="91"/>
        <v>0.98997819361295669</v>
      </c>
      <c r="S381" s="131">
        <f t="shared" si="95"/>
        <v>22487.3652</v>
      </c>
      <c r="T381" s="94">
        <f t="shared" si="96"/>
        <v>0.99060455651214696</v>
      </c>
      <c r="V381" s="82"/>
      <c r="W381" s="504">
        <v>333</v>
      </c>
      <c r="X381" s="506" t="s">
        <v>980</v>
      </c>
      <c r="Y381" s="508">
        <v>0</v>
      </c>
      <c r="Z381" s="403">
        <v>0</v>
      </c>
      <c r="AA381" s="407">
        <f t="shared" si="97"/>
        <v>0.99264160718142536</v>
      </c>
      <c r="AB381" s="411"/>
      <c r="AC381" s="446"/>
    </row>
    <row r="382" spans="1:29">
      <c r="A382" s="67">
        <v>330</v>
      </c>
      <c r="B382" s="74" t="s">
        <v>306</v>
      </c>
      <c r="C382" s="125" t="s">
        <v>365</v>
      </c>
      <c r="D382" s="387">
        <f t="shared" si="81"/>
        <v>0</v>
      </c>
      <c r="E382" s="104">
        <f t="shared" si="92"/>
        <v>4</v>
      </c>
      <c r="F382" s="83">
        <f t="shared" si="83"/>
        <v>64936.088399999993</v>
      </c>
      <c r="G382" s="83">
        <f t="shared" si="84"/>
        <v>0</v>
      </c>
      <c r="H382" s="483">
        <f t="shared" si="85"/>
        <v>0</v>
      </c>
      <c r="I382" s="83">
        <f>+'Costo adq'!C370*$I$1</f>
        <v>2070287.7439999999</v>
      </c>
      <c r="J382" s="83">
        <f t="shared" si="89"/>
        <v>0</v>
      </c>
      <c r="K382" s="358">
        <f t="shared" si="94"/>
        <v>0</v>
      </c>
      <c r="L382" s="54">
        <f>VLOOKUP(A382,'Precios oferta'!$A$30:$U$436,$B$5,FALSE)</f>
        <v>5781530.5247999998</v>
      </c>
      <c r="M382" s="48">
        <f>VLOOKUP(A382,'Precios piso'!$A$30:$U$436,$B$5,FALSE)</f>
        <v>86581.451199999996</v>
      </c>
      <c r="N382" s="105">
        <f t="shared" si="86"/>
        <v>0.98502447564211471</v>
      </c>
      <c r="O382" s="131">
        <f t="shared" si="93"/>
        <v>76191.677056</v>
      </c>
      <c r="P382" s="388">
        <f t="shared" si="90"/>
        <v>0.98682153856506094</v>
      </c>
      <c r="Q382" s="131">
        <f t="shared" si="88"/>
        <v>69265.160959999994</v>
      </c>
      <c r="R382" s="105">
        <f t="shared" si="91"/>
        <v>0.98801958051369176</v>
      </c>
      <c r="S382" s="131">
        <f t="shared" si="95"/>
        <v>64936.088399999993</v>
      </c>
      <c r="T382" s="94">
        <f t="shared" si="96"/>
        <v>0.98876835673158603</v>
      </c>
      <c r="V382" s="82"/>
      <c r="W382" s="504">
        <v>334</v>
      </c>
      <c r="X382" s="506" t="s">
        <v>981</v>
      </c>
      <c r="Y382" s="508">
        <v>0</v>
      </c>
      <c r="Z382" s="403">
        <v>0</v>
      </c>
      <c r="AA382" s="407">
        <f t="shared" si="97"/>
        <v>0.9924915170935773</v>
      </c>
      <c r="AB382" s="411"/>
      <c r="AC382" s="446"/>
    </row>
    <row r="383" spans="1:29">
      <c r="A383" s="67">
        <v>331</v>
      </c>
      <c r="B383" s="74" t="s">
        <v>307</v>
      </c>
      <c r="C383" s="125" t="s">
        <v>365</v>
      </c>
      <c r="D383" s="387">
        <f t="shared" si="81"/>
        <v>0</v>
      </c>
      <c r="E383" s="104">
        <f t="shared" si="92"/>
        <v>4</v>
      </c>
      <c r="F383" s="83">
        <f t="shared" si="83"/>
        <v>64936.088399999993</v>
      </c>
      <c r="G383" s="83">
        <f t="shared" si="84"/>
        <v>0</v>
      </c>
      <c r="H383" s="483">
        <f t="shared" si="85"/>
        <v>0</v>
      </c>
      <c r="I383" s="83">
        <f>+'Costo adq'!C371*$I$1</f>
        <v>2070287.7439999999</v>
      </c>
      <c r="J383" s="83">
        <f t="shared" si="89"/>
        <v>0</v>
      </c>
      <c r="K383" s="358">
        <f t="shared" si="94"/>
        <v>0</v>
      </c>
      <c r="L383" s="54">
        <f>VLOOKUP(A383,'Precios oferta'!$A$30:$U$436,$B$5,FALSE)</f>
        <v>5762851.2944</v>
      </c>
      <c r="M383" s="48">
        <f>VLOOKUP(A383,'Precios piso'!$A$30:$U$436,$B$5,FALSE)</f>
        <v>86581.451199999996</v>
      </c>
      <c r="N383" s="105">
        <f t="shared" si="86"/>
        <v>0.9849759352138524</v>
      </c>
      <c r="O383" s="131">
        <f t="shared" si="93"/>
        <v>76191.677056</v>
      </c>
      <c r="P383" s="388">
        <f t="shared" si="90"/>
        <v>0.98677882298819009</v>
      </c>
      <c r="Q383" s="131">
        <f t="shared" si="88"/>
        <v>69265.160959999994</v>
      </c>
      <c r="R383" s="105">
        <f t="shared" si="91"/>
        <v>0.98798074817108195</v>
      </c>
      <c r="S383" s="131">
        <f t="shared" si="95"/>
        <v>64936.088399999993</v>
      </c>
      <c r="T383" s="94">
        <f t="shared" si="96"/>
        <v>0.98873195141038928</v>
      </c>
      <c r="V383" s="82"/>
      <c r="W383" s="504">
        <v>335</v>
      </c>
      <c r="X383" s="506" t="s">
        <v>982</v>
      </c>
      <c r="Y383" s="508">
        <v>0</v>
      </c>
      <c r="Z383" s="403">
        <v>0</v>
      </c>
      <c r="AA383" s="407">
        <f t="shared" si="97"/>
        <v>0.98093981597585544</v>
      </c>
      <c r="AB383" s="411"/>
      <c r="AC383" s="446"/>
    </row>
    <row r="384" spans="1:29">
      <c r="A384" s="67">
        <v>332</v>
      </c>
      <c r="B384" s="74" t="s">
        <v>308</v>
      </c>
      <c r="C384" s="125" t="s">
        <v>365</v>
      </c>
      <c r="D384" s="387">
        <f t="shared" si="81"/>
        <v>0</v>
      </c>
      <c r="E384" s="104">
        <f t="shared" si="92"/>
        <v>4</v>
      </c>
      <c r="F384" s="83">
        <f t="shared" si="83"/>
        <v>64936.088399999993</v>
      </c>
      <c r="G384" s="83">
        <f t="shared" si="84"/>
        <v>0</v>
      </c>
      <c r="H384" s="483">
        <f t="shared" si="85"/>
        <v>0</v>
      </c>
      <c r="I384" s="83">
        <f>+'Costo adq'!C372*$I$1</f>
        <v>2070287.7439999999</v>
      </c>
      <c r="J384" s="83">
        <f t="shared" si="89"/>
        <v>0</v>
      </c>
      <c r="K384" s="358">
        <f t="shared" si="94"/>
        <v>0</v>
      </c>
      <c r="L384" s="54">
        <f>VLOOKUP(A384,'Precios oferta'!$A$30:$U$436,$B$5,FALSE)</f>
        <v>5772184.8991999999</v>
      </c>
      <c r="M384" s="48">
        <f>VLOOKUP(A384,'Precios piso'!$A$30:$U$436,$B$5,FALSE)</f>
        <v>86581.451199999996</v>
      </c>
      <c r="N384" s="105">
        <f t="shared" si="86"/>
        <v>0.98500022907928675</v>
      </c>
      <c r="O384" s="131">
        <f t="shared" si="93"/>
        <v>76191.677056</v>
      </c>
      <c r="P384" s="388">
        <f t="shared" si="90"/>
        <v>0.98680020158977233</v>
      </c>
      <c r="Q384" s="131">
        <f t="shared" si="88"/>
        <v>69265.160959999994</v>
      </c>
      <c r="R384" s="105">
        <f t="shared" si="91"/>
        <v>0.98800018326342942</v>
      </c>
      <c r="S384" s="131">
        <f t="shared" si="95"/>
        <v>64936.088399999993</v>
      </c>
      <c r="T384" s="94">
        <f t="shared" si="96"/>
        <v>0.98875017180946512</v>
      </c>
      <c r="V384" s="82"/>
      <c r="W384" s="504">
        <v>336</v>
      </c>
      <c r="X384" s="506" t="s">
        <v>983</v>
      </c>
      <c r="Y384" s="508">
        <v>0</v>
      </c>
      <c r="Z384" s="403">
        <v>0</v>
      </c>
      <c r="AA384" s="407">
        <f t="shared" si="97"/>
        <v>0.9806813969231265</v>
      </c>
      <c r="AB384" s="411"/>
      <c r="AC384" s="446"/>
    </row>
    <row r="385" spans="1:29">
      <c r="A385" s="67">
        <v>333</v>
      </c>
      <c r="B385" s="74" t="s">
        <v>309</v>
      </c>
      <c r="C385" s="125" t="s">
        <v>365</v>
      </c>
      <c r="D385" s="387">
        <f t="shared" si="81"/>
        <v>0</v>
      </c>
      <c r="E385" s="104">
        <f t="shared" si="92"/>
        <v>4</v>
      </c>
      <c r="F385" s="83">
        <f t="shared" si="83"/>
        <v>65377.852800000008</v>
      </c>
      <c r="G385" s="83">
        <f t="shared" si="84"/>
        <v>0</v>
      </c>
      <c r="H385" s="483">
        <f t="shared" si="85"/>
        <v>0</v>
      </c>
      <c r="I385" s="83">
        <f>+'Costo adq'!C373*$I$1</f>
        <v>1560518.4</v>
      </c>
      <c r="J385" s="83">
        <f t="shared" si="89"/>
        <v>0</v>
      </c>
      <c r="K385" s="358">
        <f t="shared" si="94"/>
        <v>0</v>
      </c>
      <c r="L385" s="54">
        <f>VLOOKUP(A385,'Precios oferta'!$A$30:$U$436,$B$5,FALSE)</f>
        <v>8884800.5823999997</v>
      </c>
      <c r="M385" s="48">
        <f>VLOOKUP(A385,'Precios piso'!$A$30:$U$436,$B$5,FALSE)</f>
        <v>87170.470400000006</v>
      </c>
      <c r="N385" s="105">
        <f t="shared" si="86"/>
        <v>0.99018880957523381</v>
      </c>
      <c r="O385" s="131">
        <f t="shared" si="93"/>
        <v>76710.013952000008</v>
      </c>
      <c r="P385" s="388">
        <f t="shared" si="90"/>
        <v>0.99136615242620574</v>
      </c>
      <c r="Q385" s="131">
        <f t="shared" si="88"/>
        <v>69736.37632000001</v>
      </c>
      <c r="R385" s="105">
        <f t="shared" si="91"/>
        <v>0.99215104766018702</v>
      </c>
      <c r="S385" s="131">
        <f t="shared" si="95"/>
        <v>65377.852800000008</v>
      </c>
      <c r="T385" s="94">
        <f t="shared" si="96"/>
        <v>0.99264160718142536</v>
      </c>
      <c r="V385" s="82"/>
      <c r="W385" s="504">
        <v>337</v>
      </c>
      <c r="X385" s="506" t="s">
        <v>984</v>
      </c>
      <c r="Y385" s="508">
        <v>0</v>
      </c>
      <c r="Z385" s="403">
        <v>0</v>
      </c>
      <c r="AA385" s="407">
        <f t="shared" si="97"/>
        <v>0.98736877377201093</v>
      </c>
      <c r="AB385" s="411"/>
      <c r="AC385" s="446"/>
    </row>
    <row r="386" spans="1:29">
      <c r="A386" s="67">
        <v>334</v>
      </c>
      <c r="B386" s="74" t="s">
        <v>310</v>
      </c>
      <c r="C386" s="125" t="s">
        <v>365</v>
      </c>
      <c r="D386" s="387">
        <f t="shared" si="81"/>
        <v>0</v>
      </c>
      <c r="E386" s="104">
        <f t="shared" ref="E386:E449" si="98">$B$6</f>
        <v>4</v>
      </c>
      <c r="F386" s="83">
        <f t="shared" si="83"/>
        <v>65377.852800000008</v>
      </c>
      <c r="G386" s="83">
        <f t="shared" si="84"/>
        <v>0</v>
      </c>
      <c r="H386" s="483">
        <f t="shared" si="85"/>
        <v>0</v>
      </c>
      <c r="I386" s="83">
        <f>+'Costo adq'!C374*$I$1</f>
        <v>1827210.7760000001</v>
      </c>
      <c r="J386" s="83">
        <f t="shared" si="89"/>
        <v>0</v>
      </c>
      <c r="K386" s="358">
        <f t="shared" si="94"/>
        <v>0</v>
      </c>
      <c r="L386" s="54">
        <f>VLOOKUP(A386,'Precios oferta'!$A$30:$U$436,$B$5,FALSE)</f>
        <v>8707198.7263999991</v>
      </c>
      <c r="M386" s="48">
        <f>VLOOKUP(A386,'Precios piso'!$A$30:$U$436,$B$5,FALSE)</f>
        <v>87170.470400000006</v>
      </c>
      <c r="N386" s="105">
        <f t="shared" si="86"/>
        <v>0.98998868945810303</v>
      </c>
      <c r="O386" s="131">
        <f t="shared" si="93"/>
        <v>76710.013952000008</v>
      </c>
      <c r="P386" s="388">
        <f t="shared" si="90"/>
        <v>0.99119004672313071</v>
      </c>
      <c r="Q386" s="131">
        <f t="shared" ref="Q386:Q449" si="99">+M386-(M386*20%)</f>
        <v>69736.37632000001</v>
      </c>
      <c r="R386" s="105">
        <f t="shared" ref="R386:R449" si="100">1-(Q386/L386)</f>
        <v>0.99199095156648243</v>
      </c>
      <c r="S386" s="131">
        <f t="shared" si="95"/>
        <v>65377.852800000008</v>
      </c>
      <c r="T386" s="94">
        <f t="shared" si="96"/>
        <v>0.9924915170935773</v>
      </c>
      <c r="V386" s="82"/>
      <c r="W386" s="504">
        <v>338</v>
      </c>
      <c r="X386" s="506" t="s">
        <v>985</v>
      </c>
      <c r="Y386" s="508">
        <v>0</v>
      </c>
      <c r="Z386" s="403">
        <v>0</v>
      </c>
      <c r="AA386" s="407">
        <f t="shared" si="97"/>
        <v>0.98991623870842882</v>
      </c>
      <c r="AB386" s="411"/>
      <c r="AC386" s="446"/>
    </row>
    <row r="387" spans="1:29">
      <c r="A387" s="67">
        <v>335</v>
      </c>
      <c r="B387" s="74" t="s">
        <v>311</v>
      </c>
      <c r="C387" s="125" t="s">
        <v>365</v>
      </c>
      <c r="D387" s="387">
        <f t="shared" si="81"/>
        <v>0</v>
      </c>
      <c r="E387" s="104">
        <f t="shared" si="98"/>
        <v>4</v>
      </c>
      <c r="F387" s="83">
        <f t="shared" si="83"/>
        <v>9634.3979999999992</v>
      </c>
      <c r="G387" s="83">
        <f t="shared" si="84"/>
        <v>0</v>
      </c>
      <c r="H387" s="483">
        <f t="shared" si="85"/>
        <v>0</v>
      </c>
      <c r="I387" s="83">
        <f>+'Costo adq'!C375*$I$1</f>
        <v>395702.88</v>
      </c>
      <c r="J387" s="83">
        <f t="shared" si="89"/>
        <v>0</v>
      </c>
      <c r="K387" s="358">
        <f t="shared" si="94"/>
        <v>0</v>
      </c>
      <c r="L387" s="54">
        <f>VLOOKUP(A387,'Precios oferta'!$A$30:$U$436,$B$5,FALSE)</f>
        <v>505472.45439999999</v>
      </c>
      <c r="M387" s="48">
        <f>VLOOKUP(A387,'Precios piso'!$A$30:$U$436,$B$5,FALSE)</f>
        <v>12845.864</v>
      </c>
      <c r="N387" s="105">
        <f t="shared" si="86"/>
        <v>0.97458642130114059</v>
      </c>
      <c r="O387" s="131">
        <f t="shared" si="93"/>
        <v>11304.36032</v>
      </c>
      <c r="P387" s="388">
        <f t="shared" si="90"/>
        <v>0.97763605074500382</v>
      </c>
      <c r="Q387" s="131">
        <f t="shared" si="99"/>
        <v>10276.691199999999</v>
      </c>
      <c r="R387" s="105">
        <f t="shared" si="100"/>
        <v>0.97966913704091252</v>
      </c>
      <c r="S387" s="131">
        <f t="shared" si="95"/>
        <v>9634.3979999999992</v>
      </c>
      <c r="T387" s="94">
        <f t="shared" si="96"/>
        <v>0.98093981597585544</v>
      </c>
      <c r="V387" s="82"/>
      <c r="W387" s="504">
        <v>339</v>
      </c>
      <c r="X387" s="506" t="s">
        <v>986</v>
      </c>
      <c r="Y387" s="508">
        <v>0</v>
      </c>
      <c r="Z387" s="403">
        <v>0</v>
      </c>
      <c r="AA387" s="407">
        <f t="shared" si="97"/>
        <v>0.99101438665219999</v>
      </c>
      <c r="AB387" s="411"/>
      <c r="AC387" s="446"/>
    </row>
    <row r="388" spans="1:29">
      <c r="A388" s="67">
        <v>336</v>
      </c>
      <c r="B388" s="74" t="s">
        <v>312</v>
      </c>
      <c r="C388" s="125" t="s">
        <v>365</v>
      </c>
      <c r="D388" s="387">
        <f t="shared" ref="D388:D451" si="101">VLOOKUP(A388,$W$49:$Y$455,3,FALSE)</f>
        <v>0</v>
      </c>
      <c r="E388" s="104">
        <f t="shared" si="98"/>
        <v>4</v>
      </c>
      <c r="F388" s="83">
        <f t="shared" ref="F388:F451" si="102">IF($K$478=$L$48,L388,IF($K$478=$M$48,M388,IF($K$478=$O$48,O388,IF($K$478=$Q$48,Q388,IF($K$478=$S$48,S388,"ERROR")))))</f>
        <v>10478.585999999999</v>
      </c>
      <c r="G388" s="83">
        <f t="shared" ref="G388:G451" si="103">F388*E388*D388</f>
        <v>0</v>
      </c>
      <c r="H388" s="483">
        <f t="shared" ref="H388:H451" si="104">+F388-S388</f>
        <v>0</v>
      </c>
      <c r="I388" s="83">
        <f>+'Costo adq'!C376*$I$1</f>
        <v>427940.48</v>
      </c>
      <c r="J388" s="83">
        <f t="shared" si="89"/>
        <v>0</v>
      </c>
      <c r="K388" s="358">
        <f t="shared" si="94"/>
        <v>0</v>
      </c>
      <c r="L388" s="54">
        <f>VLOOKUP(A388,'Precios oferta'!$A$30:$U$436,$B$5,FALSE)</f>
        <v>542409.09439999994</v>
      </c>
      <c r="M388" s="48">
        <f>VLOOKUP(A388,'Precios piso'!$A$30:$U$436,$B$5,FALSE)</f>
        <v>13971.448</v>
      </c>
      <c r="N388" s="105">
        <f t="shared" ref="N388:N451" si="105">1-(M388/L388)</f>
        <v>0.97424186256416867</v>
      </c>
      <c r="O388" s="131">
        <f t="shared" ref="O388:O419" si="106">+M388-(M388*$N$481)</f>
        <v>12294.874240000001</v>
      </c>
      <c r="P388" s="388">
        <f t="shared" si="90"/>
        <v>0.97733283905646839</v>
      </c>
      <c r="Q388" s="131">
        <f t="shared" si="99"/>
        <v>11177.1584</v>
      </c>
      <c r="R388" s="105">
        <f t="shared" si="100"/>
        <v>0.97939349005133491</v>
      </c>
      <c r="S388" s="131">
        <f t="shared" si="95"/>
        <v>10478.585999999999</v>
      </c>
      <c r="T388" s="94">
        <f t="shared" si="96"/>
        <v>0.9806813969231265</v>
      </c>
      <c r="V388" s="82"/>
      <c r="W388" s="504">
        <v>340</v>
      </c>
      <c r="X388" s="506" t="s">
        <v>987</v>
      </c>
      <c r="Y388" s="508">
        <v>0</v>
      </c>
      <c r="Z388" s="403">
        <v>0</v>
      </c>
      <c r="AA388" s="407">
        <f t="shared" si="97"/>
        <v>0.9817875079714391</v>
      </c>
      <c r="AB388" s="411"/>
      <c r="AC388" s="446"/>
    </row>
    <row r="389" spans="1:29">
      <c r="A389" s="67">
        <v>337</v>
      </c>
      <c r="B389" s="74" t="s">
        <v>313</v>
      </c>
      <c r="C389" s="125" t="s">
        <v>365</v>
      </c>
      <c r="D389" s="387">
        <f t="shared" si="101"/>
        <v>0</v>
      </c>
      <c r="E389" s="104">
        <f t="shared" si="98"/>
        <v>4</v>
      </c>
      <c r="F389" s="83">
        <f t="shared" si="102"/>
        <v>11678.4804</v>
      </c>
      <c r="G389" s="83">
        <f t="shared" si="103"/>
        <v>0</v>
      </c>
      <c r="H389" s="483">
        <f t="shared" si="104"/>
        <v>0</v>
      </c>
      <c r="I389" s="83">
        <f>+'Costo adq'!C377*$I$1</f>
        <v>517987.2</v>
      </c>
      <c r="J389" s="83">
        <f t="shared" ref="J389:J452" si="107">I389*E389*D389</f>
        <v>0</v>
      </c>
      <c r="K389" s="358">
        <f t="shared" si="94"/>
        <v>0</v>
      </c>
      <c r="L389" s="54">
        <f>VLOOKUP(A389,'Precios oferta'!$A$30:$U$436,$B$5,FALSE)</f>
        <v>924572.18240000005</v>
      </c>
      <c r="M389" s="48">
        <f>VLOOKUP(A389,'Precios piso'!$A$30:$U$436,$B$5,FALSE)</f>
        <v>15571.307199999999</v>
      </c>
      <c r="N389" s="105">
        <f t="shared" si="105"/>
        <v>0.98315836502934784</v>
      </c>
      <c r="O389" s="131">
        <f t="shared" si="106"/>
        <v>13702.750335999999</v>
      </c>
      <c r="P389" s="388">
        <f t="shared" ref="P389:P452" si="108">1-(O389/L389)</f>
        <v>0.98517936122582617</v>
      </c>
      <c r="Q389" s="131">
        <f t="shared" si="99"/>
        <v>12457.045759999999</v>
      </c>
      <c r="R389" s="105">
        <f t="shared" si="100"/>
        <v>0.98652669202347831</v>
      </c>
      <c r="S389" s="131">
        <f t="shared" si="95"/>
        <v>11678.4804</v>
      </c>
      <c r="T389" s="94">
        <f t="shared" si="96"/>
        <v>0.98736877377201093</v>
      </c>
      <c r="V389" s="82"/>
      <c r="W389" s="504">
        <v>341</v>
      </c>
      <c r="X389" s="506" t="s">
        <v>988</v>
      </c>
      <c r="Y389" s="508">
        <v>0</v>
      </c>
      <c r="Z389" s="403">
        <v>0</v>
      </c>
      <c r="AA389" s="407">
        <f t="shared" si="97"/>
        <v>0.99246449094654665</v>
      </c>
      <c r="AB389" s="411"/>
      <c r="AC389" s="446"/>
    </row>
    <row r="390" spans="1:29">
      <c r="A390" s="67">
        <v>338</v>
      </c>
      <c r="B390" s="74" t="s">
        <v>314</v>
      </c>
      <c r="C390" s="125" t="s">
        <v>365</v>
      </c>
      <c r="D390" s="387">
        <f t="shared" si="101"/>
        <v>0</v>
      </c>
      <c r="E390" s="104">
        <f t="shared" si="98"/>
        <v>4</v>
      </c>
      <c r="F390" s="83">
        <f t="shared" si="102"/>
        <v>12241.545599999999</v>
      </c>
      <c r="G390" s="83">
        <f t="shared" si="103"/>
        <v>0</v>
      </c>
      <c r="H390" s="483">
        <f t="shared" si="104"/>
        <v>0</v>
      </c>
      <c r="I390" s="83">
        <f>+'Costo adq'!C378*$I$1</f>
        <v>504327.2</v>
      </c>
      <c r="J390" s="83">
        <f t="shared" si="107"/>
        <v>0</v>
      </c>
      <c r="K390" s="358">
        <f t="shared" si="94"/>
        <v>0</v>
      </c>
      <c r="L390" s="54">
        <f>VLOOKUP(A390,'Precios oferta'!$A$30:$U$436,$B$5,FALSE)</f>
        <v>1213986.0560000001</v>
      </c>
      <c r="M390" s="48">
        <f>VLOOKUP(A390,'Precios piso'!$A$30:$U$436,$B$5,FALSE)</f>
        <v>16322.060799999999</v>
      </c>
      <c r="N390" s="105">
        <f t="shared" si="105"/>
        <v>0.98655498494457172</v>
      </c>
      <c r="O390" s="131">
        <f t="shared" si="106"/>
        <v>14363.413504</v>
      </c>
      <c r="P390" s="388">
        <f t="shared" si="108"/>
        <v>0.98816838675122309</v>
      </c>
      <c r="Q390" s="131">
        <f t="shared" si="99"/>
        <v>13057.648639999999</v>
      </c>
      <c r="R390" s="105">
        <f t="shared" si="100"/>
        <v>0.98924398795565738</v>
      </c>
      <c r="S390" s="131">
        <f t="shared" si="95"/>
        <v>12241.545599999999</v>
      </c>
      <c r="T390" s="94">
        <f t="shared" si="96"/>
        <v>0.98991623870842882</v>
      </c>
      <c r="V390" s="82"/>
      <c r="W390" s="504">
        <v>342</v>
      </c>
      <c r="X390" s="506" t="s">
        <v>989</v>
      </c>
      <c r="Y390" s="508">
        <v>0</v>
      </c>
      <c r="Z390" s="403">
        <v>0</v>
      </c>
      <c r="AA390" s="407">
        <f t="shared" si="97"/>
        <v>0.99316725192151856</v>
      </c>
      <c r="AB390" s="411"/>
      <c r="AC390" s="446"/>
    </row>
    <row r="391" spans="1:29">
      <c r="A391" s="67">
        <v>339</v>
      </c>
      <c r="B391" s="74" t="s">
        <v>315</v>
      </c>
      <c r="C391" s="125" t="s">
        <v>365</v>
      </c>
      <c r="D391" s="387">
        <f t="shared" si="101"/>
        <v>0</v>
      </c>
      <c r="E391" s="104">
        <f t="shared" si="98"/>
        <v>4</v>
      </c>
      <c r="F391" s="83">
        <f t="shared" si="102"/>
        <v>11575.210800000001</v>
      </c>
      <c r="G391" s="83">
        <f t="shared" si="103"/>
        <v>0</v>
      </c>
      <c r="H391" s="483">
        <f t="shared" si="104"/>
        <v>0</v>
      </c>
      <c r="I391" s="83">
        <f>+'Costo adq'!C379*$I$1</f>
        <v>746382.4</v>
      </c>
      <c r="J391" s="83">
        <f t="shared" si="107"/>
        <v>0</v>
      </c>
      <c r="K391" s="358">
        <f t="shared" si="94"/>
        <v>0</v>
      </c>
      <c r="L391" s="54">
        <f>VLOOKUP(A391,'Precios oferta'!$A$30:$U$436,$B$5,FALSE)</f>
        <v>1288193.7327999999</v>
      </c>
      <c r="M391" s="48">
        <f>VLOOKUP(A391,'Precios piso'!$A$30:$U$436,$B$5,FALSE)</f>
        <v>15433.6144</v>
      </c>
      <c r="N391" s="105">
        <f t="shared" si="105"/>
        <v>0.98801918220293328</v>
      </c>
      <c r="O391" s="131">
        <f t="shared" si="106"/>
        <v>13581.580672</v>
      </c>
      <c r="P391" s="388">
        <f t="shared" si="108"/>
        <v>0.98945688033858137</v>
      </c>
      <c r="Q391" s="131">
        <f t="shared" si="99"/>
        <v>12346.891520000001</v>
      </c>
      <c r="R391" s="105">
        <f t="shared" si="100"/>
        <v>0.99041534576234669</v>
      </c>
      <c r="S391" s="131">
        <f t="shared" si="95"/>
        <v>11575.210800000001</v>
      </c>
      <c r="T391" s="94">
        <f t="shared" si="96"/>
        <v>0.99101438665219999</v>
      </c>
      <c r="V391" s="82"/>
      <c r="W391" s="504">
        <v>343</v>
      </c>
      <c r="X391" s="506" t="s">
        <v>990</v>
      </c>
      <c r="Y391" s="508">
        <v>0</v>
      </c>
      <c r="Z391" s="403">
        <v>0</v>
      </c>
      <c r="AA391" s="407">
        <f t="shared" si="97"/>
        <v>0.98823816495851635</v>
      </c>
      <c r="AB391" s="411"/>
      <c r="AC391" s="446"/>
    </row>
    <row r="392" spans="1:29">
      <c r="A392" s="67">
        <v>340</v>
      </c>
      <c r="B392" s="74" t="s">
        <v>316</v>
      </c>
      <c r="C392" s="125" t="s">
        <v>365</v>
      </c>
      <c r="D392" s="387">
        <f t="shared" si="101"/>
        <v>0</v>
      </c>
      <c r="E392" s="104">
        <f t="shared" si="98"/>
        <v>4</v>
      </c>
      <c r="F392" s="83">
        <f t="shared" si="102"/>
        <v>23812.6584</v>
      </c>
      <c r="G392" s="83">
        <f t="shared" si="103"/>
        <v>0</v>
      </c>
      <c r="H392" s="483">
        <f t="shared" si="104"/>
        <v>0</v>
      </c>
      <c r="I392" s="83">
        <f>+'Costo adq'!C380*$I$1</f>
        <v>1037821.232</v>
      </c>
      <c r="J392" s="83">
        <f t="shared" si="107"/>
        <v>0</v>
      </c>
      <c r="K392" s="358">
        <f t="shared" si="94"/>
        <v>0</v>
      </c>
      <c r="L392" s="54">
        <f>VLOOKUP(A392,'Precios oferta'!$A$30:$U$436,$B$5,FALSE)</f>
        <v>1307490.3951999999</v>
      </c>
      <c r="M392" s="48">
        <f>VLOOKUP(A392,'Precios piso'!$A$30:$U$436,$B$5,FALSE)</f>
        <v>31750.211199999998</v>
      </c>
      <c r="N392" s="105">
        <f t="shared" si="105"/>
        <v>0.97571667729525202</v>
      </c>
      <c r="O392" s="131">
        <f t="shared" si="106"/>
        <v>27940.185855999996</v>
      </c>
      <c r="P392" s="388">
        <f t="shared" si="108"/>
        <v>0.97863067601982179</v>
      </c>
      <c r="Q392" s="131">
        <f t="shared" si="99"/>
        <v>25400.168959999999</v>
      </c>
      <c r="R392" s="105">
        <f t="shared" si="100"/>
        <v>0.98057334183620171</v>
      </c>
      <c r="S392" s="131">
        <f t="shared" si="95"/>
        <v>23812.6584</v>
      </c>
      <c r="T392" s="94">
        <f t="shared" si="96"/>
        <v>0.9817875079714391</v>
      </c>
      <c r="V392" s="82"/>
      <c r="W392" s="504">
        <v>344</v>
      </c>
      <c r="X392" s="506" t="s">
        <v>991</v>
      </c>
      <c r="Y392" s="508">
        <v>0</v>
      </c>
      <c r="Z392" s="403">
        <v>0</v>
      </c>
      <c r="AA392" s="407">
        <f t="shared" si="97"/>
        <v>0.97848318462594375</v>
      </c>
      <c r="AB392" s="411"/>
      <c r="AC392" s="446"/>
    </row>
    <row r="393" spans="1:29">
      <c r="A393" s="67">
        <v>341</v>
      </c>
      <c r="B393" s="74" t="s">
        <v>317</v>
      </c>
      <c r="C393" s="125" t="s">
        <v>365</v>
      </c>
      <c r="D393" s="387">
        <f t="shared" si="101"/>
        <v>0</v>
      </c>
      <c r="E393" s="104">
        <f t="shared" si="98"/>
        <v>4</v>
      </c>
      <c r="F393" s="83">
        <f t="shared" si="102"/>
        <v>683.54639999999995</v>
      </c>
      <c r="G393" s="83">
        <f t="shared" si="103"/>
        <v>0</v>
      </c>
      <c r="H393" s="483">
        <f t="shared" si="104"/>
        <v>0</v>
      </c>
      <c r="I393" s="83">
        <f>+'Costo adq'!C381*$I$1</f>
        <v>22309.511999999999</v>
      </c>
      <c r="J393" s="83">
        <f t="shared" si="107"/>
        <v>0</v>
      </c>
      <c r="K393" s="358">
        <f t="shared" si="94"/>
        <v>0</v>
      </c>
      <c r="L393" s="54">
        <f>VLOOKUP(A393,'Precios oferta'!$A$30:$U$436,$B$5,FALSE)</f>
        <v>90710.049599999998</v>
      </c>
      <c r="M393" s="48">
        <f>VLOOKUP(A393,'Precios piso'!$A$30:$U$436,$B$5,FALSE)</f>
        <v>911.39519999999993</v>
      </c>
      <c r="N393" s="105">
        <f t="shared" si="105"/>
        <v>0.98995265459539561</v>
      </c>
      <c r="O393" s="131">
        <f t="shared" si="106"/>
        <v>802.0277759999999</v>
      </c>
      <c r="P393" s="388">
        <f t="shared" si="108"/>
        <v>0.9911583360439481</v>
      </c>
      <c r="Q393" s="131">
        <f t="shared" si="99"/>
        <v>729.11615999999992</v>
      </c>
      <c r="R393" s="105">
        <f t="shared" si="100"/>
        <v>0.99196212367631642</v>
      </c>
      <c r="S393" s="131">
        <f t="shared" si="95"/>
        <v>683.54639999999995</v>
      </c>
      <c r="T393" s="94">
        <f t="shared" si="96"/>
        <v>0.99246449094654665</v>
      </c>
      <c r="V393" s="82"/>
      <c r="W393" s="504">
        <v>345</v>
      </c>
      <c r="X393" s="506" t="s">
        <v>992</v>
      </c>
      <c r="Y393" s="508">
        <v>0</v>
      </c>
      <c r="Z393" s="403">
        <v>0</v>
      </c>
      <c r="AA393" s="407">
        <f t="shared" si="97"/>
        <v>0.99272201529111936</v>
      </c>
      <c r="AB393" s="411"/>
      <c r="AC393" s="446"/>
    </row>
    <row r="394" spans="1:29">
      <c r="A394" s="67">
        <v>342</v>
      </c>
      <c r="B394" s="74" t="s">
        <v>318</v>
      </c>
      <c r="C394" s="125" t="s">
        <v>365</v>
      </c>
      <c r="D394" s="387">
        <f t="shared" si="101"/>
        <v>0</v>
      </c>
      <c r="E394" s="104">
        <f t="shared" si="98"/>
        <v>4</v>
      </c>
      <c r="F394" s="83">
        <f t="shared" si="102"/>
        <v>608.14319999999998</v>
      </c>
      <c r="G394" s="83">
        <f t="shared" si="103"/>
        <v>0</v>
      </c>
      <c r="H394" s="483">
        <f t="shared" si="104"/>
        <v>0</v>
      </c>
      <c r="I394" s="83">
        <f>+'Costo adq'!C382*$I$1</f>
        <v>41001.856</v>
      </c>
      <c r="J394" s="83">
        <f t="shared" si="107"/>
        <v>0</v>
      </c>
      <c r="K394" s="358">
        <f t="shared" si="94"/>
        <v>0</v>
      </c>
      <c r="L394" s="54">
        <f>VLOOKUP(A394,'Precios oferta'!$A$30:$U$436,$B$5,FALSE)</f>
        <v>89004.188800000004</v>
      </c>
      <c r="M394" s="48">
        <f>VLOOKUP(A394,'Precios piso'!$A$30:$U$436,$B$5,FALSE)</f>
        <v>810.85760000000005</v>
      </c>
      <c r="N394" s="105">
        <f t="shared" si="105"/>
        <v>0.99088966922869137</v>
      </c>
      <c r="O394" s="131">
        <f t="shared" si="106"/>
        <v>713.55468800000006</v>
      </c>
      <c r="P394" s="388">
        <f t="shared" si="108"/>
        <v>0.99198290892124841</v>
      </c>
      <c r="Q394" s="131">
        <f t="shared" si="99"/>
        <v>648.68608000000006</v>
      </c>
      <c r="R394" s="105">
        <f t="shared" si="100"/>
        <v>0.9927117353829531</v>
      </c>
      <c r="S394" s="131">
        <f t="shared" si="95"/>
        <v>608.14319999999998</v>
      </c>
      <c r="T394" s="94">
        <f t="shared" si="96"/>
        <v>0.99316725192151856</v>
      </c>
      <c r="V394" s="82"/>
      <c r="W394" s="504">
        <v>346</v>
      </c>
      <c r="X394" s="506" t="s">
        <v>993</v>
      </c>
      <c r="Y394" s="508">
        <v>0</v>
      </c>
      <c r="Z394" s="403">
        <v>0</v>
      </c>
      <c r="AA394" s="407">
        <f t="shared" si="97"/>
        <v>0.99163839735949388</v>
      </c>
      <c r="AB394" s="411"/>
      <c r="AC394" s="446"/>
    </row>
    <row r="395" spans="1:29">
      <c r="A395" s="67">
        <v>343</v>
      </c>
      <c r="B395" s="74" t="s">
        <v>319</v>
      </c>
      <c r="C395" s="125" t="s">
        <v>365</v>
      </c>
      <c r="D395" s="387">
        <f t="shared" si="101"/>
        <v>0</v>
      </c>
      <c r="E395" s="104">
        <f t="shared" si="98"/>
        <v>4</v>
      </c>
      <c r="F395" s="83">
        <f t="shared" si="102"/>
        <v>395.04719999999998</v>
      </c>
      <c r="G395" s="83">
        <f t="shared" si="103"/>
        <v>0</v>
      </c>
      <c r="H395" s="483">
        <f t="shared" si="104"/>
        <v>0</v>
      </c>
      <c r="I395" s="83">
        <f>+'Costo adq'!C383*$I$1</f>
        <v>52017.279999999999</v>
      </c>
      <c r="J395" s="83">
        <f t="shared" si="107"/>
        <v>0</v>
      </c>
      <c r="K395" s="358">
        <f t="shared" si="94"/>
        <v>0</v>
      </c>
      <c r="L395" s="54">
        <f>VLOOKUP(A395,'Precios oferta'!$A$30:$U$436,$B$5,FALSE)</f>
        <v>33587.207999999999</v>
      </c>
      <c r="M395" s="48">
        <f>VLOOKUP(A395,'Precios piso'!$A$30:$U$436,$B$5,FALSE)</f>
        <v>526.7296</v>
      </c>
      <c r="N395" s="105">
        <f t="shared" si="105"/>
        <v>0.98431755327802184</v>
      </c>
      <c r="O395" s="131">
        <f t="shared" si="106"/>
        <v>463.52204799999998</v>
      </c>
      <c r="P395" s="388">
        <f t="shared" si="108"/>
        <v>0.98619944688465921</v>
      </c>
      <c r="Q395" s="131">
        <f t="shared" si="99"/>
        <v>421.38368000000003</v>
      </c>
      <c r="R395" s="105">
        <f t="shared" si="100"/>
        <v>0.98745404262241743</v>
      </c>
      <c r="S395" s="131">
        <f t="shared" si="95"/>
        <v>395.04719999999998</v>
      </c>
      <c r="T395" s="94">
        <f t="shared" si="96"/>
        <v>0.98823816495851635</v>
      </c>
      <c r="V395" s="82"/>
      <c r="W395" s="504">
        <v>347</v>
      </c>
      <c r="X395" s="506" t="s">
        <v>994</v>
      </c>
      <c r="Y395" s="508">
        <v>0</v>
      </c>
      <c r="Z395" s="403">
        <v>0</v>
      </c>
      <c r="AA395" s="407">
        <f t="shared" si="97"/>
        <v>0.99434807430503713</v>
      </c>
      <c r="AB395" s="411"/>
      <c r="AC395" s="446"/>
    </row>
    <row r="396" spans="1:29">
      <c r="A396" s="67">
        <v>344</v>
      </c>
      <c r="B396" s="74" t="s">
        <v>320</v>
      </c>
      <c r="C396" s="125" t="s">
        <v>365</v>
      </c>
      <c r="D396" s="387">
        <f t="shared" si="101"/>
        <v>0</v>
      </c>
      <c r="E396" s="104">
        <f t="shared" si="98"/>
        <v>4</v>
      </c>
      <c r="F396" s="83">
        <f t="shared" si="102"/>
        <v>513.88920000000007</v>
      </c>
      <c r="G396" s="83">
        <f t="shared" si="103"/>
        <v>0</v>
      </c>
      <c r="H396" s="483">
        <f t="shared" si="104"/>
        <v>0</v>
      </c>
      <c r="I396" s="83">
        <f>+'Costo adq'!C384*$I$1</f>
        <v>26653.392</v>
      </c>
      <c r="J396" s="83">
        <f t="shared" si="107"/>
        <v>0</v>
      </c>
      <c r="K396" s="358">
        <f t="shared" si="94"/>
        <v>0</v>
      </c>
      <c r="L396" s="54">
        <f>VLOOKUP(A396,'Precios oferta'!$A$30:$U$436,$B$5,FALSE)</f>
        <v>23883.144</v>
      </c>
      <c r="M396" s="48">
        <f>VLOOKUP(A396,'Precios piso'!$A$30:$U$436,$B$5,FALSE)</f>
        <v>685.18560000000002</v>
      </c>
      <c r="N396" s="105">
        <f t="shared" si="105"/>
        <v>0.97131091283459159</v>
      </c>
      <c r="O396" s="131">
        <f t="shared" si="106"/>
        <v>602.96332800000005</v>
      </c>
      <c r="P396" s="388">
        <f t="shared" si="108"/>
        <v>0.97475360329444061</v>
      </c>
      <c r="Q396" s="131">
        <f t="shared" si="99"/>
        <v>548.14848000000006</v>
      </c>
      <c r="R396" s="105">
        <f t="shared" si="100"/>
        <v>0.97704873026767325</v>
      </c>
      <c r="S396" s="131">
        <f t="shared" si="95"/>
        <v>513.88920000000007</v>
      </c>
      <c r="T396" s="94">
        <f t="shared" si="96"/>
        <v>0.97848318462594375</v>
      </c>
      <c r="V396" s="82"/>
      <c r="W396" s="504">
        <v>348</v>
      </c>
      <c r="X396" s="506" t="s">
        <v>995</v>
      </c>
      <c r="Y396" s="508">
        <v>0</v>
      </c>
      <c r="Z396" s="403">
        <v>0</v>
      </c>
      <c r="AA396" s="407">
        <f t="shared" si="97"/>
        <v>0.99438270904440584</v>
      </c>
      <c r="AB396" s="411"/>
      <c r="AC396" s="446"/>
    </row>
    <row r="397" spans="1:29">
      <c r="A397" s="67">
        <v>345</v>
      </c>
      <c r="B397" s="74" t="s">
        <v>321</v>
      </c>
      <c r="C397" s="125" t="s">
        <v>365</v>
      </c>
      <c r="D397" s="387">
        <f t="shared" si="101"/>
        <v>0</v>
      </c>
      <c r="E397" s="104">
        <f t="shared" si="98"/>
        <v>4</v>
      </c>
      <c r="F397" s="83">
        <f t="shared" si="102"/>
        <v>649.1232</v>
      </c>
      <c r="G397" s="83">
        <f t="shared" si="103"/>
        <v>0</v>
      </c>
      <c r="H397" s="483">
        <f t="shared" si="104"/>
        <v>0</v>
      </c>
      <c r="I397" s="83">
        <f>+'Costo adq'!C385*$I$1</f>
        <v>61442.68</v>
      </c>
      <c r="J397" s="83">
        <f t="shared" si="107"/>
        <v>0</v>
      </c>
      <c r="K397" s="358">
        <f t="shared" si="94"/>
        <v>0</v>
      </c>
      <c r="L397" s="54">
        <f>VLOOKUP(A397,'Precios oferta'!$A$30:$U$436,$B$5,FALSE)</f>
        <v>89189.964800000002</v>
      </c>
      <c r="M397" s="48">
        <f>VLOOKUP(A397,'Precios piso'!$A$30:$U$436,$B$5,FALSE)</f>
        <v>865.49760000000003</v>
      </c>
      <c r="N397" s="105">
        <f t="shared" si="105"/>
        <v>0.99029602038815923</v>
      </c>
      <c r="O397" s="131">
        <f t="shared" si="106"/>
        <v>761.63788799999998</v>
      </c>
      <c r="P397" s="388">
        <f t="shared" si="108"/>
        <v>0.99146049794158009</v>
      </c>
      <c r="Q397" s="131">
        <f t="shared" si="99"/>
        <v>692.39808000000005</v>
      </c>
      <c r="R397" s="105">
        <f t="shared" si="100"/>
        <v>0.99223681631052729</v>
      </c>
      <c r="S397" s="131">
        <f t="shared" si="95"/>
        <v>649.1232</v>
      </c>
      <c r="T397" s="94">
        <f t="shared" si="96"/>
        <v>0.99272201529111936</v>
      </c>
      <c r="V397" s="82"/>
      <c r="W397" s="504">
        <v>349</v>
      </c>
      <c r="X397" s="506" t="s">
        <v>996</v>
      </c>
      <c r="Y397" s="508">
        <v>0</v>
      </c>
      <c r="Z397" s="403">
        <v>0</v>
      </c>
      <c r="AA397" s="407">
        <f t="shared" si="97"/>
        <v>0.98848693038484248</v>
      </c>
      <c r="AB397" s="411"/>
      <c r="AC397" s="446"/>
    </row>
    <row r="398" spans="1:29">
      <c r="A398" s="67">
        <v>346</v>
      </c>
      <c r="B398" s="74" t="s">
        <v>322</v>
      </c>
      <c r="C398" s="125" t="s">
        <v>365</v>
      </c>
      <c r="D398" s="387">
        <f t="shared" si="101"/>
        <v>0</v>
      </c>
      <c r="E398" s="104">
        <f t="shared" si="98"/>
        <v>4</v>
      </c>
      <c r="F398" s="83">
        <f t="shared" si="102"/>
        <v>996.63360000000011</v>
      </c>
      <c r="G398" s="83">
        <f t="shared" si="103"/>
        <v>0</v>
      </c>
      <c r="H398" s="483">
        <f t="shared" si="104"/>
        <v>0</v>
      </c>
      <c r="I398" s="83">
        <f>+'Costo adq'!C386*$I$1</f>
        <v>86413.16</v>
      </c>
      <c r="J398" s="83">
        <f t="shared" si="107"/>
        <v>0</v>
      </c>
      <c r="K398" s="358">
        <f t="shared" si="94"/>
        <v>0</v>
      </c>
      <c r="L398" s="54">
        <f>VLOOKUP(A398,'Precios oferta'!$A$30:$U$436,$B$5,FALSE)</f>
        <v>119191.696</v>
      </c>
      <c r="M398" s="48">
        <f>VLOOKUP(A398,'Precios piso'!$A$30:$U$436,$B$5,FALSE)</f>
        <v>1328.8448000000001</v>
      </c>
      <c r="N398" s="105">
        <f t="shared" si="105"/>
        <v>0.98885119647932518</v>
      </c>
      <c r="O398" s="131">
        <f t="shared" si="106"/>
        <v>1169.3834240000001</v>
      </c>
      <c r="P398" s="388">
        <f t="shared" si="108"/>
        <v>0.99018905290180614</v>
      </c>
      <c r="Q398" s="131">
        <f t="shared" si="99"/>
        <v>1063.07584</v>
      </c>
      <c r="R398" s="105">
        <f t="shared" si="100"/>
        <v>0.99108095718346012</v>
      </c>
      <c r="S398" s="131">
        <f t="shared" si="95"/>
        <v>996.63360000000011</v>
      </c>
      <c r="T398" s="94">
        <f t="shared" si="96"/>
        <v>0.99163839735949388</v>
      </c>
      <c r="V398" s="82"/>
      <c r="W398" s="504">
        <v>350</v>
      </c>
      <c r="X398" s="506" t="s">
        <v>997</v>
      </c>
      <c r="Y398" s="508">
        <v>0</v>
      </c>
      <c r="Z398" s="403">
        <v>0</v>
      </c>
      <c r="AA398" s="407">
        <f t="shared" si="97"/>
        <v>0.9877504122145333</v>
      </c>
      <c r="AB398" s="411"/>
      <c r="AC398" s="446"/>
    </row>
    <row r="399" spans="1:29">
      <c r="A399" s="67">
        <v>347</v>
      </c>
      <c r="B399" s="74" t="s">
        <v>323</v>
      </c>
      <c r="C399" s="125" t="s">
        <v>365</v>
      </c>
      <c r="D399" s="387">
        <f t="shared" si="101"/>
        <v>0</v>
      </c>
      <c r="E399" s="104">
        <f t="shared" si="98"/>
        <v>4</v>
      </c>
      <c r="F399" s="83">
        <f t="shared" si="102"/>
        <v>703.21679999999992</v>
      </c>
      <c r="G399" s="83">
        <f t="shared" si="103"/>
        <v>0</v>
      </c>
      <c r="H399" s="483">
        <f t="shared" si="104"/>
        <v>0</v>
      </c>
      <c r="I399" s="83">
        <f>+'Costo adq'!C387*$I$1</f>
        <v>24188.035199999998</v>
      </c>
      <c r="J399" s="83">
        <f t="shared" si="107"/>
        <v>0</v>
      </c>
      <c r="K399" s="358">
        <f t="shared" si="94"/>
        <v>0</v>
      </c>
      <c r="L399" s="54">
        <f>VLOOKUP(A399,'Precios oferta'!$A$30:$U$436,$B$5,FALSE)</f>
        <v>124420.74400000001</v>
      </c>
      <c r="M399" s="48">
        <f>VLOOKUP(A399,'Precios piso'!$A$30:$U$436,$B$5,FALSE)</f>
        <v>937.62239999999997</v>
      </c>
      <c r="N399" s="105">
        <f t="shared" si="105"/>
        <v>0.99246409907338284</v>
      </c>
      <c r="O399" s="131">
        <f t="shared" si="106"/>
        <v>825.10771199999999</v>
      </c>
      <c r="P399" s="388">
        <f t="shared" si="108"/>
        <v>0.99336840718457686</v>
      </c>
      <c r="Q399" s="131">
        <f t="shared" si="99"/>
        <v>750.09791999999993</v>
      </c>
      <c r="R399" s="105">
        <f t="shared" si="100"/>
        <v>0.99397127925870621</v>
      </c>
      <c r="S399" s="131">
        <f t="shared" si="95"/>
        <v>703.21679999999992</v>
      </c>
      <c r="T399" s="94">
        <f t="shared" si="96"/>
        <v>0.99434807430503713</v>
      </c>
      <c r="V399" s="82"/>
      <c r="W399" s="504">
        <v>351</v>
      </c>
      <c r="X399" s="506" t="s">
        <v>998</v>
      </c>
      <c r="Y399" s="508">
        <v>0</v>
      </c>
      <c r="Z399" s="403">
        <v>0</v>
      </c>
      <c r="AA399" s="407">
        <f t="shared" si="97"/>
        <v>0.98589244406333509</v>
      </c>
      <c r="AB399" s="411"/>
      <c r="AC399" s="446"/>
    </row>
    <row r="400" spans="1:29">
      <c r="A400" s="67">
        <v>348</v>
      </c>
      <c r="B400" s="74" t="s">
        <v>324</v>
      </c>
      <c r="C400" s="125" t="s">
        <v>365</v>
      </c>
      <c r="D400" s="387">
        <f t="shared" si="101"/>
        <v>0</v>
      </c>
      <c r="E400" s="104">
        <f t="shared" si="98"/>
        <v>4</v>
      </c>
      <c r="F400" s="83">
        <f t="shared" si="102"/>
        <v>703.21679999999992</v>
      </c>
      <c r="G400" s="83">
        <f t="shared" si="103"/>
        <v>0</v>
      </c>
      <c r="H400" s="483">
        <f t="shared" si="104"/>
        <v>0</v>
      </c>
      <c r="I400" s="83">
        <f>+'Costo adq'!C388*$I$1</f>
        <v>24188.035199999998</v>
      </c>
      <c r="J400" s="83">
        <f t="shared" si="107"/>
        <v>0</v>
      </c>
      <c r="K400" s="358">
        <f t="shared" si="94"/>
        <v>0</v>
      </c>
      <c r="L400" s="54">
        <f>VLOOKUP(A400,'Precios oferta'!$A$30:$U$436,$B$5,FALSE)</f>
        <v>125187.88959999999</v>
      </c>
      <c r="M400" s="48">
        <f>VLOOKUP(A400,'Precios piso'!$A$30:$U$436,$B$5,FALSE)</f>
        <v>937.62239999999997</v>
      </c>
      <c r="N400" s="105">
        <f t="shared" si="105"/>
        <v>0.9925102787258745</v>
      </c>
      <c r="O400" s="131">
        <f t="shared" si="106"/>
        <v>825.10771199999999</v>
      </c>
      <c r="P400" s="388">
        <f t="shared" si="108"/>
        <v>0.9934090452787695</v>
      </c>
      <c r="Q400" s="131">
        <f t="shared" si="99"/>
        <v>750.09791999999993</v>
      </c>
      <c r="R400" s="105">
        <f t="shared" si="100"/>
        <v>0.99400822298069957</v>
      </c>
      <c r="S400" s="131">
        <f t="shared" si="95"/>
        <v>703.21679999999992</v>
      </c>
      <c r="T400" s="94">
        <f t="shared" si="96"/>
        <v>0.99438270904440584</v>
      </c>
      <c r="V400" s="82"/>
      <c r="W400" s="504">
        <v>352</v>
      </c>
      <c r="X400" s="506" t="s">
        <v>999</v>
      </c>
      <c r="Y400" s="508">
        <v>0</v>
      </c>
      <c r="Z400" s="403">
        <v>0</v>
      </c>
      <c r="AA400" s="407">
        <f t="shared" si="97"/>
        <v>0.93026435733819512</v>
      </c>
      <c r="AB400" s="411"/>
      <c r="AC400" s="446"/>
    </row>
    <row r="401" spans="1:29">
      <c r="A401" s="67">
        <v>349</v>
      </c>
      <c r="B401" s="74" t="s">
        <v>325</v>
      </c>
      <c r="C401" s="125" t="s">
        <v>365</v>
      </c>
      <c r="D401" s="387">
        <f t="shared" si="101"/>
        <v>0</v>
      </c>
      <c r="E401" s="104">
        <f t="shared" si="98"/>
        <v>4</v>
      </c>
      <c r="F401" s="83">
        <f t="shared" si="102"/>
        <v>703.21679999999992</v>
      </c>
      <c r="G401" s="83">
        <f t="shared" si="103"/>
        <v>0</v>
      </c>
      <c r="H401" s="483">
        <f t="shared" si="104"/>
        <v>0</v>
      </c>
      <c r="I401" s="83">
        <f>+'Costo adq'!C389*$I$1</f>
        <v>24188.035199999998</v>
      </c>
      <c r="J401" s="83">
        <f t="shared" si="107"/>
        <v>0</v>
      </c>
      <c r="K401" s="358">
        <f t="shared" si="94"/>
        <v>0</v>
      </c>
      <c r="L401" s="54">
        <f>VLOOKUP(A401,'Precios oferta'!$A$30:$U$436,$B$5,FALSE)</f>
        <v>61079.8704</v>
      </c>
      <c r="M401" s="48">
        <f>VLOOKUP(A401,'Precios piso'!$A$30:$U$436,$B$5,FALSE)</f>
        <v>937.62239999999997</v>
      </c>
      <c r="N401" s="105">
        <f t="shared" si="105"/>
        <v>0.9846492405131233</v>
      </c>
      <c r="O401" s="131">
        <f t="shared" si="106"/>
        <v>825.10771199999999</v>
      </c>
      <c r="P401" s="388">
        <f t="shared" si="108"/>
        <v>0.98649133165154845</v>
      </c>
      <c r="Q401" s="131">
        <f t="shared" si="99"/>
        <v>750.09791999999993</v>
      </c>
      <c r="R401" s="105">
        <f t="shared" si="100"/>
        <v>0.98771939241049866</v>
      </c>
      <c r="S401" s="131">
        <f t="shared" si="95"/>
        <v>703.21679999999992</v>
      </c>
      <c r="T401" s="94">
        <f t="shared" si="96"/>
        <v>0.98848693038484248</v>
      </c>
      <c r="V401" s="82"/>
      <c r="W401" s="504">
        <v>353</v>
      </c>
      <c r="X401" s="506" t="s">
        <v>1000</v>
      </c>
      <c r="Y401" s="508">
        <v>0</v>
      </c>
      <c r="Z401" s="403">
        <v>0</v>
      </c>
      <c r="AA401" s="407">
        <f t="shared" si="97"/>
        <v>0.98941746133138664</v>
      </c>
      <c r="AB401" s="411"/>
      <c r="AC401" s="446"/>
    </row>
    <row r="402" spans="1:29">
      <c r="A402" s="67">
        <v>350</v>
      </c>
      <c r="B402" s="74" t="s">
        <v>326</v>
      </c>
      <c r="C402" s="125" t="s">
        <v>365</v>
      </c>
      <c r="D402" s="387">
        <f t="shared" si="101"/>
        <v>0</v>
      </c>
      <c r="E402" s="104">
        <f t="shared" si="98"/>
        <v>4</v>
      </c>
      <c r="F402" s="83">
        <f t="shared" si="102"/>
        <v>1031.0568000000001</v>
      </c>
      <c r="G402" s="83">
        <f t="shared" si="103"/>
        <v>0</v>
      </c>
      <c r="H402" s="483">
        <f t="shared" si="104"/>
        <v>0</v>
      </c>
      <c r="I402" s="83">
        <f>+'Costo adq'!C390*$I$1</f>
        <v>47154.32</v>
      </c>
      <c r="J402" s="83">
        <f t="shared" si="107"/>
        <v>0</v>
      </c>
      <c r="K402" s="358">
        <f t="shared" si="94"/>
        <v>0</v>
      </c>
      <c r="L402" s="54">
        <f>VLOOKUP(A402,'Precios oferta'!$A$30:$U$436,$B$5,FALSE)</f>
        <v>84170.734400000001</v>
      </c>
      <c r="M402" s="48">
        <f>VLOOKUP(A402,'Precios piso'!$A$30:$U$436,$B$5,FALSE)</f>
        <v>1374.7424000000001</v>
      </c>
      <c r="N402" s="105">
        <f t="shared" si="105"/>
        <v>0.98366721628604448</v>
      </c>
      <c r="O402" s="131">
        <f t="shared" si="106"/>
        <v>1209.773312</v>
      </c>
      <c r="P402" s="388">
        <f t="shared" si="108"/>
        <v>0.9856271503317191</v>
      </c>
      <c r="Q402" s="131">
        <f t="shared" si="99"/>
        <v>1099.7939200000001</v>
      </c>
      <c r="R402" s="105">
        <f t="shared" si="100"/>
        <v>0.98693377302883556</v>
      </c>
      <c r="S402" s="131">
        <f t="shared" si="95"/>
        <v>1031.0568000000001</v>
      </c>
      <c r="T402" s="94">
        <f t="shared" si="96"/>
        <v>0.9877504122145333</v>
      </c>
      <c r="V402" s="82"/>
      <c r="W402" s="504">
        <v>354</v>
      </c>
      <c r="X402" s="506" t="s">
        <v>1001</v>
      </c>
      <c r="Y402" s="508">
        <v>0</v>
      </c>
      <c r="Z402" s="403">
        <v>0</v>
      </c>
      <c r="AA402" s="407">
        <f t="shared" si="97"/>
        <v>0.9883215796897038</v>
      </c>
      <c r="AB402" s="411"/>
      <c r="AC402" s="446"/>
    </row>
    <row r="403" spans="1:29">
      <c r="A403" s="67">
        <v>351</v>
      </c>
      <c r="B403" s="74" t="s">
        <v>327</v>
      </c>
      <c r="C403" s="125" t="s">
        <v>365</v>
      </c>
      <c r="D403" s="387">
        <f t="shared" si="101"/>
        <v>0</v>
      </c>
      <c r="E403" s="104">
        <f t="shared" si="98"/>
        <v>4</v>
      </c>
      <c r="F403" s="83">
        <f t="shared" si="102"/>
        <v>3092.3508000000002</v>
      </c>
      <c r="G403" s="83">
        <f t="shared" si="103"/>
        <v>0</v>
      </c>
      <c r="H403" s="483">
        <f t="shared" si="104"/>
        <v>0</v>
      </c>
      <c r="I403" s="83">
        <f>+'Costo adq'!C391*$I$1</f>
        <v>128742.768</v>
      </c>
      <c r="J403" s="83">
        <f t="shared" si="107"/>
        <v>0</v>
      </c>
      <c r="K403" s="358">
        <f t="shared" si="94"/>
        <v>0</v>
      </c>
      <c r="L403" s="54">
        <f>VLOOKUP(A403,'Precios oferta'!$A$30:$U$436,$B$5,FALSE)</f>
        <v>219198.19519999999</v>
      </c>
      <c r="M403" s="48">
        <f>VLOOKUP(A403,'Precios piso'!$A$30:$U$436,$B$5,FALSE)</f>
        <v>4123.1343999999999</v>
      </c>
      <c r="N403" s="105">
        <f t="shared" si="105"/>
        <v>0.98118992541778005</v>
      </c>
      <c r="O403" s="131">
        <f t="shared" si="106"/>
        <v>3628.3582719999999</v>
      </c>
      <c r="P403" s="388">
        <f t="shared" si="108"/>
        <v>0.98344713436764652</v>
      </c>
      <c r="Q403" s="131">
        <f t="shared" si="99"/>
        <v>3298.5075200000001</v>
      </c>
      <c r="R403" s="105">
        <f t="shared" si="100"/>
        <v>0.98495194033422406</v>
      </c>
      <c r="S403" s="131">
        <f t="shared" si="95"/>
        <v>3092.3508000000002</v>
      </c>
      <c r="T403" s="94">
        <f t="shared" si="96"/>
        <v>0.98589244406333509</v>
      </c>
      <c r="V403" s="82"/>
      <c r="W403" s="504">
        <v>355</v>
      </c>
      <c r="X403" s="506" t="s">
        <v>1002</v>
      </c>
      <c r="Y403" s="508">
        <v>0</v>
      </c>
      <c r="Z403" s="403">
        <v>0</v>
      </c>
      <c r="AA403" s="407">
        <f t="shared" si="97"/>
        <v>0.99003668312123549</v>
      </c>
      <c r="AB403" s="411"/>
      <c r="AC403" s="446"/>
    </row>
    <row r="404" spans="1:29">
      <c r="A404" s="67">
        <v>352</v>
      </c>
      <c r="B404" s="74" t="s">
        <v>328</v>
      </c>
      <c r="C404" s="125" t="s">
        <v>365</v>
      </c>
      <c r="D404" s="387">
        <f t="shared" si="101"/>
        <v>0</v>
      </c>
      <c r="E404" s="104">
        <f t="shared" si="98"/>
        <v>4</v>
      </c>
      <c r="F404" s="83">
        <f t="shared" si="102"/>
        <v>10784.2968</v>
      </c>
      <c r="G404" s="83">
        <f t="shared" si="103"/>
        <v>0</v>
      </c>
      <c r="H404" s="483">
        <f t="shared" si="104"/>
        <v>0</v>
      </c>
      <c r="I404" s="481">
        <f>+'Costo adq'!C392*$I$1</f>
        <v>243070.4112</v>
      </c>
      <c r="J404" s="83">
        <f t="shared" si="107"/>
        <v>0</v>
      </c>
      <c r="K404" s="358">
        <f t="shared" si="94"/>
        <v>0</v>
      </c>
      <c r="L404" s="54">
        <f>VLOOKUP(A404,'Precios oferta'!$A$30:$U$436,$B$5,FALSE)</f>
        <v>154645.40640000001</v>
      </c>
      <c r="M404" s="48">
        <f>VLOOKUP(A404,'Precios piso'!$A$30:$U$436,$B$5,FALSE)</f>
        <v>14379.062400000001</v>
      </c>
      <c r="N404" s="105">
        <f t="shared" si="105"/>
        <v>0.90701914311759346</v>
      </c>
      <c r="O404" s="131">
        <f t="shared" si="106"/>
        <v>12653.574912</v>
      </c>
      <c r="P404" s="388">
        <f t="shared" si="108"/>
        <v>0.91817684594348226</v>
      </c>
      <c r="Q404" s="131">
        <f t="shared" si="99"/>
        <v>11503.24992</v>
      </c>
      <c r="R404" s="105">
        <f t="shared" si="100"/>
        <v>0.92561531449407475</v>
      </c>
      <c r="S404" s="131">
        <f t="shared" si="95"/>
        <v>10784.2968</v>
      </c>
      <c r="T404" s="94">
        <f t="shared" si="96"/>
        <v>0.93026435733819512</v>
      </c>
      <c r="V404" s="82"/>
      <c r="W404" s="504">
        <v>356</v>
      </c>
      <c r="X404" s="506" t="s">
        <v>1003</v>
      </c>
      <c r="Y404" s="508">
        <v>0</v>
      </c>
      <c r="Z404" s="403">
        <v>0</v>
      </c>
      <c r="AA404" s="407">
        <f t="shared" si="97"/>
        <v>0.98287619621731592</v>
      </c>
      <c r="AB404" s="411"/>
      <c r="AC404" s="446"/>
    </row>
    <row r="405" spans="1:29">
      <c r="A405" s="67">
        <v>353</v>
      </c>
      <c r="B405" s="74" t="s">
        <v>329</v>
      </c>
      <c r="C405" s="125" t="s">
        <v>365</v>
      </c>
      <c r="D405" s="387">
        <f t="shared" si="101"/>
        <v>0</v>
      </c>
      <c r="E405" s="104">
        <f t="shared" si="98"/>
        <v>4</v>
      </c>
      <c r="F405" s="83">
        <f t="shared" si="102"/>
        <v>1013.8452</v>
      </c>
      <c r="G405" s="83">
        <f t="shared" si="103"/>
        <v>0</v>
      </c>
      <c r="H405" s="483">
        <f t="shared" si="104"/>
        <v>0</v>
      </c>
      <c r="I405" s="83">
        <f>+'Costo adq'!C393*$I$1</f>
        <v>128742.768</v>
      </c>
      <c r="J405" s="83">
        <f t="shared" si="107"/>
        <v>0</v>
      </c>
      <c r="K405" s="358">
        <f t="shared" si="94"/>
        <v>0</v>
      </c>
      <c r="L405" s="54">
        <f>VLOOKUP(A405,'Precios oferta'!$A$30:$U$436,$B$5,FALSE)</f>
        <v>95803.590400000001</v>
      </c>
      <c r="M405" s="48">
        <f>VLOOKUP(A405,'Precios piso'!$A$30:$U$436,$B$5,FALSE)</f>
        <v>1351.7936</v>
      </c>
      <c r="N405" s="105">
        <f t="shared" si="105"/>
        <v>0.98588994844184874</v>
      </c>
      <c r="O405" s="131">
        <f t="shared" si="106"/>
        <v>1189.578368</v>
      </c>
      <c r="P405" s="388">
        <f t="shared" si="108"/>
        <v>0.98758315462882695</v>
      </c>
      <c r="Q405" s="131">
        <f t="shared" si="99"/>
        <v>1081.43488</v>
      </c>
      <c r="R405" s="105">
        <f t="shared" si="100"/>
        <v>0.98871195875347906</v>
      </c>
      <c r="S405" s="131">
        <f t="shared" si="95"/>
        <v>1013.8452</v>
      </c>
      <c r="T405" s="94">
        <f t="shared" si="96"/>
        <v>0.98941746133138664</v>
      </c>
      <c r="V405" s="82"/>
      <c r="W405" s="504">
        <v>357</v>
      </c>
      <c r="X405" s="506" t="s">
        <v>1004</v>
      </c>
      <c r="Y405" s="508">
        <v>0</v>
      </c>
      <c r="Z405" s="403">
        <v>0</v>
      </c>
      <c r="AA405" s="407">
        <f t="shared" si="97"/>
        <v>0.98855201148844074</v>
      </c>
      <c r="AB405" s="411"/>
      <c r="AC405" s="446"/>
    </row>
    <row r="406" spans="1:29">
      <c r="A406" s="67">
        <v>354</v>
      </c>
      <c r="B406" s="74" t="s">
        <v>330</v>
      </c>
      <c r="C406" s="125" t="s">
        <v>365</v>
      </c>
      <c r="D406" s="387">
        <f t="shared" si="101"/>
        <v>0</v>
      </c>
      <c r="E406" s="104">
        <f t="shared" si="98"/>
        <v>4</v>
      </c>
      <c r="F406" s="83">
        <f t="shared" si="102"/>
        <v>2714.5151999999998</v>
      </c>
      <c r="G406" s="83">
        <f t="shared" si="103"/>
        <v>0</v>
      </c>
      <c r="H406" s="483">
        <f t="shared" si="104"/>
        <v>0</v>
      </c>
      <c r="I406" s="83">
        <f>+'Costo adq'!C394*$I$1</f>
        <v>152981.07199999999</v>
      </c>
      <c r="J406" s="83">
        <f t="shared" si="107"/>
        <v>0</v>
      </c>
      <c r="K406" s="358">
        <f t="shared" si="94"/>
        <v>0</v>
      </c>
      <c r="L406" s="54">
        <f>VLOOKUP(A406,'Precios oferta'!$A$30:$U$436,$B$5,FALSE)</f>
        <v>232438.56</v>
      </c>
      <c r="M406" s="48">
        <f>VLOOKUP(A406,'Precios piso'!$A$30:$U$436,$B$5,FALSE)</f>
        <v>3619.3535999999999</v>
      </c>
      <c r="N406" s="105">
        <f t="shared" si="105"/>
        <v>0.98442877291960507</v>
      </c>
      <c r="O406" s="131">
        <f t="shared" si="106"/>
        <v>3185.031168</v>
      </c>
      <c r="P406" s="388">
        <f t="shared" si="108"/>
        <v>0.98629732016925242</v>
      </c>
      <c r="Q406" s="131">
        <f t="shared" si="99"/>
        <v>2895.48288</v>
      </c>
      <c r="R406" s="105">
        <f t="shared" si="100"/>
        <v>0.98754301833568403</v>
      </c>
      <c r="S406" s="131">
        <f t="shared" si="95"/>
        <v>2714.5151999999998</v>
      </c>
      <c r="T406" s="94">
        <f t="shared" si="96"/>
        <v>0.9883215796897038</v>
      </c>
      <c r="V406" s="82"/>
      <c r="W406" s="504">
        <v>358</v>
      </c>
      <c r="X406" s="506" t="s">
        <v>1005</v>
      </c>
      <c r="Y406" s="508">
        <v>0</v>
      </c>
      <c r="Z406" s="403">
        <v>0</v>
      </c>
      <c r="AA406" s="407">
        <f t="shared" si="97"/>
        <v>0.92885070480502108</v>
      </c>
      <c r="AB406" s="411"/>
      <c r="AC406" s="446"/>
    </row>
    <row r="407" spans="1:29">
      <c r="A407" s="67">
        <v>355</v>
      </c>
      <c r="B407" s="74" t="s">
        <v>331</v>
      </c>
      <c r="C407" s="125" t="s">
        <v>365</v>
      </c>
      <c r="D407" s="387">
        <f t="shared" si="101"/>
        <v>0</v>
      </c>
      <c r="E407" s="104">
        <f t="shared" si="98"/>
        <v>4</v>
      </c>
      <c r="F407" s="83">
        <f t="shared" si="102"/>
        <v>721.24800000000005</v>
      </c>
      <c r="G407" s="83">
        <f t="shared" si="103"/>
        <v>0</v>
      </c>
      <c r="H407" s="483">
        <f t="shared" si="104"/>
        <v>0</v>
      </c>
      <c r="I407" s="83">
        <f>+'Costo adq'!C395*$I$1</f>
        <v>28565.792000000001</v>
      </c>
      <c r="J407" s="83">
        <f t="shared" si="107"/>
        <v>0</v>
      </c>
      <c r="K407" s="358">
        <f t="shared" si="94"/>
        <v>0</v>
      </c>
      <c r="L407" s="54">
        <f>VLOOKUP(A407,'Precios oferta'!$A$30:$U$436,$B$5,FALSE)</f>
        <v>72390.350399999996</v>
      </c>
      <c r="M407" s="48">
        <f>VLOOKUP(A407,'Precios piso'!$A$30:$U$436,$B$5,FALSE)</f>
        <v>961.66399999999999</v>
      </c>
      <c r="N407" s="105">
        <f t="shared" si="105"/>
        <v>0.98671557749498062</v>
      </c>
      <c r="O407" s="131">
        <f t="shared" si="106"/>
        <v>846.26432</v>
      </c>
      <c r="P407" s="388">
        <f t="shared" si="108"/>
        <v>0.98830970819558295</v>
      </c>
      <c r="Q407" s="131">
        <f t="shared" si="99"/>
        <v>769.33119999999997</v>
      </c>
      <c r="R407" s="105">
        <f t="shared" si="100"/>
        <v>0.9893724619959845</v>
      </c>
      <c r="S407" s="131">
        <f t="shared" si="95"/>
        <v>721.24800000000005</v>
      </c>
      <c r="T407" s="94">
        <f t="shared" si="96"/>
        <v>0.99003668312123549</v>
      </c>
      <c r="V407" s="82"/>
      <c r="W407" s="504">
        <v>359</v>
      </c>
      <c r="X407" s="506" t="s">
        <v>1006</v>
      </c>
      <c r="Y407" s="508">
        <v>0</v>
      </c>
      <c r="Z407" s="403">
        <v>0</v>
      </c>
      <c r="AA407" s="407">
        <f t="shared" si="97"/>
        <v>0.97958637695994044</v>
      </c>
      <c r="AB407" s="411"/>
      <c r="AC407" s="446"/>
    </row>
    <row r="408" spans="1:29">
      <c r="A408" s="67">
        <v>356</v>
      </c>
      <c r="B408" s="74" t="s">
        <v>332</v>
      </c>
      <c r="C408" s="125" t="s">
        <v>365</v>
      </c>
      <c r="D408" s="387">
        <f t="shared" si="101"/>
        <v>0</v>
      </c>
      <c r="E408" s="104">
        <f t="shared" si="98"/>
        <v>4</v>
      </c>
      <c r="F408" s="83">
        <f t="shared" si="102"/>
        <v>2731.7267999999999</v>
      </c>
      <c r="G408" s="83">
        <f t="shared" si="103"/>
        <v>0</v>
      </c>
      <c r="H408" s="483">
        <f t="shared" si="104"/>
        <v>0</v>
      </c>
      <c r="I408" s="83">
        <f>+'Costo adq'!C396*$I$1</f>
        <v>112968.2</v>
      </c>
      <c r="J408" s="83">
        <f t="shared" si="107"/>
        <v>0</v>
      </c>
      <c r="K408" s="358">
        <f t="shared" si="94"/>
        <v>0</v>
      </c>
      <c r="L408" s="54">
        <f>VLOOKUP(A408,'Precios oferta'!$A$30:$U$436,$B$5,FALSE)</f>
        <v>159528.0368</v>
      </c>
      <c r="M408" s="48">
        <f>VLOOKUP(A408,'Precios piso'!$A$30:$U$436,$B$5,FALSE)</f>
        <v>3642.3024</v>
      </c>
      <c r="N408" s="105">
        <f t="shared" si="105"/>
        <v>0.9771682616230879</v>
      </c>
      <c r="O408" s="131">
        <f t="shared" si="106"/>
        <v>3205.2261120000003</v>
      </c>
      <c r="P408" s="388">
        <f t="shared" si="108"/>
        <v>0.97990807022831738</v>
      </c>
      <c r="Q408" s="131">
        <f t="shared" si="99"/>
        <v>2913.8419199999998</v>
      </c>
      <c r="R408" s="105">
        <f t="shared" si="100"/>
        <v>0.98173460929847034</v>
      </c>
      <c r="S408" s="131">
        <f t="shared" si="95"/>
        <v>2731.7267999999999</v>
      </c>
      <c r="T408" s="94">
        <f t="shared" si="96"/>
        <v>0.98287619621731592</v>
      </c>
      <c r="V408" s="82"/>
      <c r="W408" s="504">
        <v>360</v>
      </c>
      <c r="X408" s="506" t="s">
        <v>1007</v>
      </c>
      <c r="Y408" s="508">
        <v>0</v>
      </c>
      <c r="Z408" s="403">
        <v>0</v>
      </c>
      <c r="AA408" s="407">
        <f t="shared" si="97"/>
        <v>0.97274033999592546</v>
      </c>
      <c r="AB408" s="411"/>
      <c r="AC408" s="446"/>
    </row>
    <row r="409" spans="1:29">
      <c r="A409" s="67">
        <v>357</v>
      </c>
      <c r="B409" s="74" t="s">
        <v>333</v>
      </c>
      <c r="C409" s="125" t="s">
        <v>365</v>
      </c>
      <c r="D409" s="387">
        <f t="shared" si="101"/>
        <v>0</v>
      </c>
      <c r="E409" s="104">
        <f t="shared" si="98"/>
        <v>4</v>
      </c>
      <c r="F409" s="83">
        <f t="shared" si="102"/>
        <v>1855.5744</v>
      </c>
      <c r="G409" s="83">
        <f t="shared" si="103"/>
        <v>0</v>
      </c>
      <c r="H409" s="483">
        <f t="shared" si="104"/>
        <v>0</v>
      </c>
      <c r="I409" s="83">
        <f>+'Costo adq'!C397*$I$1</f>
        <v>95504.163199999995</v>
      </c>
      <c r="J409" s="83">
        <f t="shared" si="107"/>
        <v>0</v>
      </c>
      <c r="K409" s="358">
        <f t="shared" si="94"/>
        <v>0</v>
      </c>
      <c r="L409" s="54">
        <f>VLOOKUP(A409,'Precios oferta'!$A$30:$U$436,$B$5,FALSE)</f>
        <v>162087.3744</v>
      </c>
      <c r="M409" s="48">
        <f>VLOOKUP(A409,'Precios piso'!$A$30:$U$436,$B$5,FALSE)</f>
        <v>2474.0992000000001</v>
      </c>
      <c r="N409" s="105">
        <f t="shared" si="105"/>
        <v>0.98473601531792099</v>
      </c>
      <c r="O409" s="131">
        <f t="shared" si="106"/>
        <v>2177.207296</v>
      </c>
      <c r="P409" s="388">
        <f t="shared" si="108"/>
        <v>0.98656769347977047</v>
      </c>
      <c r="Q409" s="131">
        <f t="shared" si="99"/>
        <v>1979.27936</v>
      </c>
      <c r="R409" s="105">
        <f t="shared" si="100"/>
        <v>0.98778881225433679</v>
      </c>
      <c r="S409" s="131">
        <f t="shared" si="95"/>
        <v>1855.5744</v>
      </c>
      <c r="T409" s="94">
        <f t="shared" si="96"/>
        <v>0.98855201148844074</v>
      </c>
      <c r="V409" s="82"/>
      <c r="W409" s="504">
        <v>361</v>
      </c>
      <c r="X409" s="506" t="s">
        <v>1008</v>
      </c>
      <c r="Y409" s="508">
        <v>0</v>
      </c>
      <c r="Z409" s="403">
        <v>0</v>
      </c>
      <c r="AA409" s="407">
        <f t="shared" si="97"/>
        <v>0.98880906267307078</v>
      </c>
      <c r="AB409" s="411"/>
      <c r="AC409" s="446"/>
    </row>
    <row r="410" spans="1:29">
      <c r="A410" s="67">
        <v>358</v>
      </c>
      <c r="B410" s="74" t="s">
        <v>334</v>
      </c>
      <c r="C410" s="125" t="s">
        <v>365</v>
      </c>
      <c r="D410" s="387">
        <f t="shared" si="101"/>
        <v>0</v>
      </c>
      <c r="E410" s="104">
        <f t="shared" si="98"/>
        <v>4</v>
      </c>
      <c r="F410" s="83">
        <f t="shared" si="102"/>
        <v>12846.410400000001</v>
      </c>
      <c r="G410" s="83">
        <f t="shared" si="103"/>
        <v>0</v>
      </c>
      <c r="H410" s="483">
        <f t="shared" si="104"/>
        <v>0</v>
      </c>
      <c r="I410" s="83">
        <f>+'Costo adq'!C398*$I$1</f>
        <v>145233.11704943998</v>
      </c>
      <c r="J410" s="83">
        <f t="shared" si="107"/>
        <v>0</v>
      </c>
      <c r="K410" s="358">
        <f t="shared" si="94"/>
        <v>0</v>
      </c>
      <c r="L410" s="54">
        <f>VLOOKUP(A410,'Precios oferta'!$A$30:$U$436,$B$5,FALSE)</f>
        <v>180555.69440000001</v>
      </c>
      <c r="M410" s="48">
        <f>VLOOKUP(A410,'Precios piso'!$A$30:$U$436,$B$5,FALSE)</f>
        <v>17128.547200000001</v>
      </c>
      <c r="N410" s="105">
        <f t="shared" si="105"/>
        <v>0.90513427307336147</v>
      </c>
      <c r="O410" s="131">
        <f t="shared" si="106"/>
        <v>15073.121536000001</v>
      </c>
      <c r="P410" s="388">
        <f t="shared" si="108"/>
        <v>0.91651816030455813</v>
      </c>
      <c r="Q410" s="131">
        <f t="shared" si="99"/>
        <v>13702.83776</v>
      </c>
      <c r="R410" s="105">
        <f t="shared" si="100"/>
        <v>0.92410741845868916</v>
      </c>
      <c r="S410" s="131">
        <f t="shared" si="95"/>
        <v>12846.410400000001</v>
      </c>
      <c r="T410" s="94">
        <f t="shared" si="96"/>
        <v>0.92885070480502108</v>
      </c>
      <c r="V410" s="82"/>
      <c r="W410" s="504">
        <v>362</v>
      </c>
      <c r="X410" s="506" t="s">
        <v>1009</v>
      </c>
      <c r="Y410" s="508">
        <v>0</v>
      </c>
      <c r="Z410" s="403">
        <v>0</v>
      </c>
      <c r="AA410" s="407">
        <f t="shared" si="97"/>
        <v>0.98638926346639189</v>
      </c>
      <c r="AB410" s="411"/>
      <c r="AC410" s="446"/>
    </row>
    <row r="411" spans="1:29">
      <c r="A411" s="67">
        <v>359</v>
      </c>
      <c r="B411" s="74" t="s">
        <v>335</v>
      </c>
      <c r="C411" s="125" t="s">
        <v>365</v>
      </c>
      <c r="D411" s="387">
        <f t="shared" si="101"/>
        <v>0</v>
      </c>
      <c r="E411" s="104">
        <f t="shared" si="98"/>
        <v>4</v>
      </c>
      <c r="F411" s="83">
        <f t="shared" si="102"/>
        <v>958.93200000000002</v>
      </c>
      <c r="G411" s="83">
        <f t="shared" si="103"/>
        <v>0</v>
      </c>
      <c r="H411" s="483">
        <f t="shared" si="104"/>
        <v>0</v>
      </c>
      <c r="I411" s="481">
        <f>+'Costo adq'!C399*$I$1</f>
        <v>75828.299199999994</v>
      </c>
      <c r="J411" s="83">
        <f t="shared" si="107"/>
        <v>0</v>
      </c>
      <c r="K411" s="358">
        <f t="shared" si="94"/>
        <v>0</v>
      </c>
      <c r="L411" s="54">
        <f>VLOOKUP(A411,'Precios oferta'!$A$30:$U$436,$B$5,FALSE)</f>
        <v>46975.1008</v>
      </c>
      <c r="M411" s="48">
        <f>VLOOKUP(A411,'Precios piso'!$A$30:$U$436,$B$5,FALSE)</f>
        <v>1278.576</v>
      </c>
      <c r="N411" s="105">
        <f t="shared" si="105"/>
        <v>0.97278183594658729</v>
      </c>
      <c r="O411" s="131">
        <f t="shared" si="106"/>
        <v>1125.14688</v>
      </c>
      <c r="P411" s="388">
        <f t="shared" si="108"/>
        <v>0.97604801563299681</v>
      </c>
      <c r="Q411" s="131">
        <f t="shared" si="99"/>
        <v>1022.8608</v>
      </c>
      <c r="R411" s="105">
        <f t="shared" si="100"/>
        <v>0.97822546875726979</v>
      </c>
      <c r="S411" s="131">
        <f t="shared" si="95"/>
        <v>958.93200000000002</v>
      </c>
      <c r="T411" s="94">
        <f t="shared" si="96"/>
        <v>0.97958637695994044</v>
      </c>
      <c r="V411" s="82"/>
      <c r="W411" s="504">
        <v>363</v>
      </c>
      <c r="X411" s="506" t="s">
        <v>1010</v>
      </c>
      <c r="Y411" s="508">
        <v>0</v>
      </c>
      <c r="Z411" s="403">
        <v>0</v>
      </c>
      <c r="AA411" s="407">
        <f t="shared" si="97"/>
        <v>0.83037258604547837</v>
      </c>
      <c r="AB411" s="411"/>
      <c r="AC411" s="446"/>
    </row>
    <row r="412" spans="1:29">
      <c r="A412" s="67">
        <v>360</v>
      </c>
      <c r="B412" s="74" t="s">
        <v>336</v>
      </c>
      <c r="C412" s="125" t="s">
        <v>365</v>
      </c>
      <c r="D412" s="387">
        <f t="shared" si="101"/>
        <v>0</v>
      </c>
      <c r="E412" s="104">
        <f t="shared" si="98"/>
        <v>4</v>
      </c>
      <c r="F412" s="83">
        <f t="shared" si="102"/>
        <v>3948.0132000000003</v>
      </c>
      <c r="G412" s="83">
        <f t="shared" si="103"/>
        <v>0</v>
      </c>
      <c r="H412" s="483">
        <f t="shared" si="104"/>
        <v>0</v>
      </c>
      <c r="I412" s="83">
        <f>+'Costo adq'!C400*$I$1</f>
        <v>106777.488</v>
      </c>
      <c r="J412" s="83">
        <f t="shared" si="107"/>
        <v>0</v>
      </c>
      <c r="K412" s="358">
        <f t="shared" si="94"/>
        <v>0</v>
      </c>
      <c r="L412" s="54">
        <f>VLOOKUP(A412,'Precios oferta'!$A$30:$U$436,$B$5,FALSE)</f>
        <v>144829.8768</v>
      </c>
      <c r="M412" s="48">
        <f>VLOOKUP(A412,'Precios piso'!$A$30:$U$436,$B$5,FALSE)</f>
        <v>5264.0176000000001</v>
      </c>
      <c r="N412" s="105">
        <f t="shared" si="105"/>
        <v>0.96365378666123402</v>
      </c>
      <c r="O412" s="131">
        <f t="shared" si="106"/>
        <v>4632.3354880000006</v>
      </c>
      <c r="P412" s="388">
        <f t="shared" si="108"/>
        <v>0.96801533226188585</v>
      </c>
      <c r="Q412" s="131">
        <f t="shared" si="99"/>
        <v>4211.2140799999997</v>
      </c>
      <c r="R412" s="105">
        <f t="shared" si="100"/>
        <v>0.97092302932898722</v>
      </c>
      <c r="S412" s="131">
        <f t="shared" si="95"/>
        <v>3948.0132000000003</v>
      </c>
      <c r="T412" s="94">
        <f t="shared" si="96"/>
        <v>0.97274033999592546</v>
      </c>
      <c r="V412" s="82"/>
      <c r="W412" s="504">
        <v>364</v>
      </c>
      <c r="X412" s="506" t="s">
        <v>1011</v>
      </c>
      <c r="Y412" s="508">
        <v>0</v>
      </c>
      <c r="Z412" s="403">
        <v>0</v>
      </c>
      <c r="AA412" s="407">
        <f t="shared" si="97"/>
        <v>0.99131233181979617</v>
      </c>
      <c r="AB412" s="411"/>
      <c r="AC412" s="446"/>
    </row>
    <row r="413" spans="1:29">
      <c r="A413" s="67">
        <v>361</v>
      </c>
      <c r="B413" s="74" t="s">
        <v>337</v>
      </c>
      <c r="C413" s="125" t="s">
        <v>365</v>
      </c>
      <c r="D413" s="387">
        <f t="shared" si="101"/>
        <v>0</v>
      </c>
      <c r="E413" s="104">
        <f t="shared" si="98"/>
        <v>4</v>
      </c>
      <c r="F413" s="83">
        <f t="shared" si="102"/>
        <v>37759.791599999997</v>
      </c>
      <c r="G413" s="83">
        <f t="shared" si="103"/>
        <v>0</v>
      </c>
      <c r="H413" s="483">
        <f t="shared" si="104"/>
        <v>0</v>
      </c>
      <c r="I413" s="83">
        <f>+'Costo adq'!C401*$I$1</f>
        <v>1065053.808</v>
      </c>
      <c r="J413" s="83">
        <f t="shared" si="107"/>
        <v>0</v>
      </c>
      <c r="K413" s="358">
        <f t="shared" si="94"/>
        <v>0</v>
      </c>
      <c r="L413" s="54">
        <f>VLOOKUP(A413,'Precios oferta'!$A$30:$U$436,$B$5,FALSE)</f>
        <v>3374140.2080000001</v>
      </c>
      <c r="M413" s="48">
        <f>VLOOKUP(A413,'Precios piso'!$A$30:$U$436,$B$5,FALSE)</f>
        <v>50346.388800000001</v>
      </c>
      <c r="N413" s="105">
        <f t="shared" si="105"/>
        <v>0.98507875023076097</v>
      </c>
      <c r="O413" s="131">
        <f t="shared" si="106"/>
        <v>44304.822143999998</v>
      </c>
      <c r="P413" s="388">
        <f t="shared" si="108"/>
        <v>0.98686930020306973</v>
      </c>
      <c r="Q413" s="131">
        <f t="shared" si="99"/>
        <v>40277.111040000003</v>
      </c>
      <c r="R413" s="105">
        <f t="shared" si="100"/>
        <v>0.9880630001846088</v>
      </c>
      <c r="S413" s="131">
        <f t="shared" si="95"/>
        <v>37759.791599999997</v>
      </c>
      <c r="T413" s="94">
        <f t="shared" si="96"/>
        <v>0.98880906267307078</v>
      </c>
      <c r="V413" s="82"/>
      <c r="W413" s="504">
        <v>365</v>
      </c>
      <c r="X413" s="506" t="s">
        <v>1012</v>
      </c>
      <c r="Y413" s="508">
        <v>0</v>
      </c>
      <c r="Z413" s="403">
        <v>0</v>
      </c>
      <c r="AA413" s="407">
        <f t="shared" si="97"/>
        <v>0.80127766370066167</v>
      </c>
      <c r="AB413" s="411"/>
      <c r="AC413" s="446"/>
    </row>
    <row r="414" spans="1:29">
      <c r="A414" s="67">
        <v>362</v>
      </c>
      <c r="B414" s="74" t="s">
        <v>338</v>
      </c>
      <c r="C414" s="125" t="s">
        <v>365</v>
      </c>
      <c r="D414" s="387">
        <f t="shared" si="101"/>
        <v>0</v>
      </c>
      <c r="E414" s="104">
        <f t="shared" si="98"/>
        <v>4</v>
      </c>
      <c r="F414" s="83">
        <f t="shared" si="102"/>
        <v>27486.925199999998</v>
      </c>
      <c r="G414" s="83">
        <f t="shared" si="103"/>
        <v>0</v>
      </c>
      <c r="H414" s="483">
        <f t="shared" si="104"/>
        <v>0</v>
      </c>
      <c r="I414" s="83">
        <f>+'Costo adq'!C402*$I$1</f>
        <v>780206.74560000002</v>
      </c>
      <c r="J414" s="83">
        <f t="shared" si="107"/>
        <v>0</v>
      </c>
      <c r="K414" s="358">
        <f t="shared" si="94"/>
        <v>0</v>
      </c>
      <c r="L414" s="54">
        <f>VLOOKUP(A414,'Precios oferta'!$A$30:$U$436,$B$5,FALSE)</f>
        <v>2019503.1424</v>
      </c>
      <c r="M414" s="48">
        <f>VLOOKUP(A414,'Precios piso'!$A$30:$U$436,$B$5,FALSE)</f>
        <v>36649.2336</v>
      </c>
      <c r="N414" s="105">
        <f t="shared" si="105"/>
        <v>0.98185235128852255</v>
      </c>
      <c r="O414" s="131">
        <f t="shared" si="106"/>
        <v>32251.325568</v>
      </c>
      <c r="P414" s="388">
        <f t="shared" si="108"/>
        <v>0.9840300691338999</v>
      </c>
      <c r="Q414" s="131">
        <f t="shared" si="99"/>
        <v>29319.386879999998</v>
      </c>
      <c r="R414" s="105">
        <f t="shared" si="100"/>
        <v>0.98548188103081802</v>
      </c>
      <c r="S414" s="131">
        <f t="shared" si="95"/>
        <v>27486.925199999998</v>
      </c>
      <c r="T414" s="94">
        <f t="shared" si="96"/>
        <v>0.98638926346639189</v>
      </c>
      <c r="V414" s="82"/>
      <c r="W414" s="504">
        <v>366</v>
      </c>
      <c r="X414" s="506" t="s">
        <v>1013</v>
      </c>
      <c r="Y414" s="508">
        <v>0</v>
      </c>
      <c r="Z414" s="403">
        <v>0</v>
      </c>
      <c r="AA414" s="407">
        <f t="shared" si="97"/>
        <v>0.99036144756081546</v>
      </c>
      <c r="AB414" s="411"/>
      <c r="AC414" s="446"/>
    </row>
    <row r="415" spans="1:29">
      <c r="A415" s="67">
        <v>363</v>
      </c>
      <c r="B415" s="74" t="s">
        <v>339</v>
      </c>
      <c r="C415" s="125" t="s">
        <v>366</v>
      </c>
      <c r="D415" s="387">
        <f t="shared" si="101"/>
        <v>0</v>
      </c>
      <c r="E415" s="104">
        <f t="shared" si="98"/>
        <v>4</v>
      </c>
      <c r="F415" s="83">
        <f t="shared" si="102"/>
        <v>11681.7588</v>
      </c>
      <c r="G415" s="83">
        <f t="shared" si="103"/>
        <v>0</v>
      </c>
      <c r="H415" s="483">
        <f t="shared" si="104"/>
        <v>0</v>
      </c>
      <c r="I415" s="83">
        <f>+'Costo adq'!C403*$I$1</f>
        <v>17342.736000000001</v>
      </c>
      <c r="J415" s="83">
        <f t="shared" si="107"/>
        <v>0</v>
      </c>
      <c r="L415" s="54">
        <f>VLOOKUP(A415,'Precios oferta'!$A$30:$U$436,$B$5,FALSE)</f>
        <v>68867.163199999995</v>
      </c>
      <c r="M415" s="48">
        <f>VLOOKUP(A415,'Precios piso'!$A$30:$U$436,$B$5,FALSE)</f>
        <v>15575.678400000001</v>
      </c>
      <c r="N415" s="105">
        <f t="shared" si="105"/>
        <v>0.77383011472730445</v>
      </c>
      <c r="O415" s="131">
        <f t="shared" si="106"/>
        <v>13706.596992000001</v>
      </c>
      <c r="P415" s="388">
        <f t="shared" si="108"/>
        <v>0.80097050096002786</v>
      </c>
      <c r="Q415" s="131">
        <f t="shared" si="99"/>
        <v>12460.542720000001</v>
      </c>
      <c r="R415" s="105">
        <f t="shared" si="100"/>
        <v>0.81906409178184347</v>
      </c>
      <c r="S415" s="131">
        <f t="shared" si="95"/>
        <v>11681.7588</v>
      </c>
      <c r="T415" s="94">
        <f t="shared" si="96"/>
        <v>0.83037258604547837</v>
      </c>
      <c r="V415" s="82"/>
      <c r="W415" s="504">
        <v>367</v>
      </c>
      <c r="X415" s="506" t="s">
        <v>1014</v>
      </c>
      <c r="Y415" s="508">
        <v>13</v>
      </c>
      <c r="Z415" s="403">
        <v>0</v>
      </c>
      <c r="AA415" s="407">
        <f t="shared" si="97"/>
        <v>0.78602602275971778</v>
      </c>
      <c r="AB415" s="411"/>
      <c r="AC415" s="446"/>
    </row>
    <row r="416" spans="1:29">
      <c r="A416" s="67">
        <v>364</v>
      </c>
      <c r="B416" s="74" t="s">
        <v>339</v>
      </c>
      <c r="C416" s="125" t="s">
        <v>365</v>
      </c>
      <c r="D416" s="387">
        <f t="shared" si="101"/>
        <v>0</v>
      </c>
      <c r="E416" s="104">
        <f t="shared" si="98"/>
        <v>4</v>
      </c>
      <c r="F416" s="83">
        <f t="shared" si="102"/>
        <v>11681.7588</v>
      </c>
      <c r="G416" s="83">
        <f t="shared" si="103"/>
        <v>0</v>
      </c>
      <c r="H416" s="483">
        <f t="shared" si="104"/>
        <v>0</v>
      </c>
      <c r="I416" s="83">
        <f>+'Costo adq'!C404*$I$1</f>
        <v>624207.35999999999</v>
      </c>
      <c r="J416" s="83">
        <f t="shared" si="107"/>
        <v>0</v>
      </c>
      <c r="K416" s="358">
        <f t="shared" si="94"/>
        <v>0</v>
      </c>
      <c r="L416" s="54">
        <f>VLOOKUP(A416,'Precios oferta'!$A$30:$U$436,$B$5,FALSE)</f>
        <v>1344636.8528</v>
      </c>
      <c r="M416" s="48">
        <f>VLOOKUP(A416,'Precios piso'!$A$30:$U$436,$B$5,FALSE)</f>
        <v>15575.678400000001</v>
      </c>
      <c r="N416" s="105">
        <f t="shared" si="105"/>
        <v>0.98841644242639493</v>
      </c>
      <c r="O416" s="131">
        <f t="shared" si="106"/>
        <v>13706.596992000001</v>
      </c>
      <c r="P416" s="388">
        <f t="shared" si="108"/>
        <v>0.98980646933522753</v>
      </c>
      <c r="Q416" s="131">
        <f t="shared" si="99"/>
        <v>12460.542720000001</v>
      </c>
      <c r="R416" s="105">
        <f t="shared" si="100"/>
        <v>0.99073315394111594</v>
      </c>
      <c r="S416" s="131">
        <f t="shared" si="95"/>
        <v>11681.7588</v>
      </c>
      <c r="T416" s="94">
        <f t="shared" si="96"/>
        <v>0.99131233181979617</v>
      </c>
      <c r="V416" s="82"/>
      <c r="W416" s="504">
        <v>368</v>
      </c>
      <c r="X416" s="506" t="s">
        <v>1015</v>
      </c>
      <c r="Y416" s="508">
        <v>0</v>
      </c>
      <c r="Z416" s="403">
        <v>0</v>
      </c>
      <c r="AA416" s="407">
        <f t="shared" si="97"/>
        <v>0.98910758766080287</v>
      </c>
      <c r="AB416" s="411"/>
      <c r="AC416" s="446"/>
    </row>
    <row r="417" spans="1:29">
      <c r="A417" s="67">
        <v>365</v>
      </c>
      <c r="B417" s="74" t="s">
        <v>340</v>
      </c>
      <c r="C417" s="125" t="s">
        <v>366</v>
      </c>
      <c r="D417" s="387">
        <f t="shared" si="101"/>
        <v>0</v>
      </c>
      <c r="E417" s="104">
        <f t="shared" si="98"/>
        <v>4</v>
      </c>
      <c r="F417" s="83">
        <f t="shared" si="102"/>
        <v>14277.432000000001</v>
      </c>
      <c r="G417" s="83">
        <f t="shared" si="103"/>
        <v>0</v>
      </c>
      <c r="H417" s="483">
        <f t="shared" si="104"/>
        <v>0</v>
      </c>
      <c r="I417" s="83">
        <f>+'Costo adq'!C405*$I$1</f>
        <v>20948.975999999999</v>
      </c>
      <c r="J417" s="83">
        <f t="shared" si="107"/>
        <v>0</v>
      </c>
      <c r="L417" s="54">
        <f>VLOOKUP(A417,'Precios oferta'!$A$30:$U$436,$B$5,FALSE)</f>
        <v>71846.135999999999</v>
      </c>
      <c r="M417" s="48">
        <f>VLOOKUP(A417,'Precios piso'!$A$30:$U$436,$B$5,FALSE)</f>
        <v>19036.576000000001</v>
      </c>
      <c r="N417" s="105">
        <f t="shared" si="105"/>
        <v>0.73503688493421548</v>
      </c>
      <c r="O417" s="131">
        <f t="shared" si="106"/>
        <v>16752.186880000001</v>
      </c>
      <c r="P417" s="388">
        <f t="shared" si="108"/>
        <v>0.76683245874210959</v>
      </c>
      <c r="Q417" s="131">
        <f t="shared" si="99"/>
        <v>15229.2608</v>
      </c>
      <c r="R417" s="105">
        <f t="shared" si="100"/>
        <v>0.78802950794737248</v>
      </c>
      <c r="S417" s="131">
        <f t="shared" si="95"/>
        <v>14277.432000000001</v>
      </c>
      <c r="T417" s="94">
        <f t="shared" si="96"/>
        <v>0.80127766370066167</v>
      </c>
      <c r="V417" s="82"/>
      <c r="W417" s="504">
        <v>369</v>
      </c>
      <c r="X417" s="506" t="s">
        <v>1016</v>
      </c>
      <c r="Y417" s="508">
        <v>0</v>
      </c>
      <c r="Z417" s="403">
        <v>0</v>
      </c>
      <c r="AA417" s="407">
        <f t="shared" si="97"/>
        <v>0.97408572976600405</v>
      </c>
      <c r="AB417" s="411"/>
      <c r="AC417" s="446"/>
    </row>
    <row r="418" spans="1:29">
      <c r="A418" s="67">
        <v>366</v>
      </c>
      <c r="B418" s="74" t="s">
        <v>340</v>
      </c>
      <c r="C418" s="125" t="s">
        <v>365</v>
      </c>
      <c r="D418" s="387">
        <f t="shared" si="101"/>
        <v>0</v>
      </c>
      <c r="E418" s="104">
        <f t="shared" si="98"/>
        <v>4</v>
      </c>
      <c r="F418" s="83">
        <f t="shared" si="102"/>
        <v>14277.432000000001</v>
      </c>
      <c r="G418" s="83">
        <f t="shared" si="103"/>
        <v>0</v>
      </c>
      <c r="H418" s="483">
        <f t="shared" si="104"/>
        <v>0</v>
      </c>
      <c r="I418" s="83">
        <f>+'Costo adq'!C406*$I$1</f>
        <v>754250.55999999994</v>
      </c>
      <c r="J418" s="83">
        <f t="shared" si="107"/>
        <v>0</v>
      </c>
      <c r="K418" s="358">
        <f t="shared" si="94"/>
        <v>0</v>
      </c>
      <c r="L418" s="54">
        <f>VLOOKUP(A418,'Precios oferta'!$A$30:$U$436,$B$5,FALSE)</f>
        <v>1481283.8432</v>
      </c>
      <c r="M418" s="48">
        <f>VLOOKUP(A418,'Precios piso'!$A$30:$U$436,$B$5,FALSE)</f>
        <v>19036.576000000001</v>
      </c>
      <c r="N418" s="105">
        <f t="shared" si="105"/>
        <v>0.9871485967477539</v>
      </c>
      <c r="O418" s="131">
        <f t="shared" si="106"/>
        <v>16752.186880000001</v>
      </c>
      <c r="P418" s="388">
        <f t="shared" si="108"/>
        <v>0.98869076513802345</v>
      </c>
      <c r="Q418" s="131">
        <f t="shared" si="99"/>
        <v>15229.2608</v>
      </c>
      <c r="R418" s="105">
        <f t="shared" si="100"/>
        <v>0.98971887739820319</v>
      </c>
      <c r="S418" s="131">
        <f t="shared" si="95"/>
        <v>14277.432000000001</v>
      </c>
      <c r="T418" s="94">
        <f t="shared" si="96"/>
        <v>0.99036144756081546</v>
      </c>
      <c r="V418" s="82"/>
      <c r="W418" s="504">
        <v>370</v>
      </c>
      <c r="X418" s="506" t="s">
        <v>1017</v>
      </c>
      <c r="Y418" s="508">
        <v>0</v>
      </c>
      <c r="Z418" s="403">
        <v>0</v>
      </c>
      <c r="AA418" s="407">
        <f t="shared" si="97"/>
        <v>0.83735621854780729</v>
      </c>
      <c r="AB418" s="411"/>
      <c r="AC418" s="446"/>
    </row>
    <row r="419" spans="1:29">
      <c r="A419" s="67">
        <v>367</v>
      </c>
      <c r="B419" s="74" t="s">
        <v>341</v>
      </c>
      <c r="C419" s="125" t="s">
        <v>366</v>
      </c>
      <c r="D419" s="387">
        <f t="shared" si="101"/>
        <v>13</v>
      </c>
      <c r="E419" s="104">
        <f t="shared" si="98"/>
        <v>4</v>
      </c>
      <c r="F419" s="83">
        <f t="shared" si="102"/>
        <v>17198.486400000002</v>
      </c>
      <c r="G419" s="83">
        <f t="shared" si="103"/>
        <v>894321.29280000005</v>
      </c>
      <c r="H419" s="483">
        <f t="shared" si="104"/>
        <v>0</v>
      </c>
      <c r="I419" s="83">
        <f>+'Costo adq'!C407*$I$1</f>
        <v>24566.144</v>
      </c>
      <c r="J419" s="83">
        <f t="shared" si="107"/>
        <v>1277439.4879999999</v>
      </c>
      <c r="L419" s="54">
        <f>VLOOKUP(A419,'Precios oferta'!$A$30:$U$436,$B$5,FALSE)</f>
        <v>80376.532800000001</v>
      </c>
      <c r="M419" s="48">
        <f>VLOOKUP(A419,'Precios piso'!$A$30:$U$436,$B$5,FALSE)</f>
        <v>22931.315200000001</v>
      </c>
      <c r="N419" s="105">
        <f t="shared" si="105"/>
        <v>0.71470136367962367</v>
      </c>
      <c r="O419" s="131">
        <f t="shared" si="106"/>
        <v>20179.557376000001</v>
      </c>
      <c r="P419" s="388">
        <f t="shared" si="108"/>
        <v>0.74893720003806874</v>
      </c>
      <c r="Q419" s="131">
        <f t="shared" si="99"/>
        <v>18345.052159999999</v>
      </c>
      <c r="R419" s="105">
        <f t="shared" si="100"/>
        <v>0.77176109094369894</v>
      </c>
      <c r="S419" s="131">
        <f t="shared" si="95"/>
        <v>17198.486400000002</v>
      </c>
      <c r="T419" s="94">
        <f t="shared" si="96"/>
        <v>0.78602602275971778</v>
      </c>
      <c r="V419" s="82"/>
      <c r="W419" s="504">
        <v>371</v>
      </c>
      <c r="X419" s="506" t="s">
        <v>1018</v>
      </c>
      <c r="Y419" s="508">
        <v>0.5</v>
      </c>
      <c r="Z419" s="403">
        <v>0</v>
      </c>
      <c r="AA419" s="407">
        <f t="shared" si="97"/>
        <v>0.99383328342919586</v>
      </c>
      <c r="AB419" s="411"/>
      <c r="AC419" s="446"/>
    </row>
    <row r="420" spans="1:29">
      <c r="A420" s="67">
        <v>368</v>
      </c>
      <c r="B420" s="74" t="s">
        <v>341</v>
      </c>
      <c r="C420" s="125" t="s">
        <v>365</v>
      </c>
      <c r="D420" s="387">
        <f t="shared" si="101"/>
        <v>0</v>
      </c>
      <c r="E420" s="104">
        <f t="shared" si="98"/>
        <v>4</v>
      </c>
      <c r="F420" s="83">
        <f t="shared" si="102"/>
        <v>17198.486400000002</v>
      </c>
      <c r="G420" s="83">
        <f t="shared" si="103"/>
        <v>0</v>
      </c>
      <c r="H420" s="483">
        <f t="shared" si="104"/>
        <v>0</v>
      </c>
      <c r="I420" s="83">
        <f>+'Costo adq'!C408*$I$1</f>
        <v>884293.76</v>
      </c>
      <c r="J420" s="83">
        <f t="shared" si="107"/>
        <v>0</v>
      </c>
      <c r="K420" s="358">
        <f t="shared" si="94"/>
        <v>0</v>
      </c>
      <c r="L420" s="54">
        <f>VLOOKUP(A420,'Precios oferta'!$A$30:$U$436,$B$5,FALSE)</f>
        <v>1578941.9151999999</v>
      </c>
      <c r="M420" s="48">
        <f>VLOOKUP(A420,'Precios piso'!$A$30:$U$436,$B$5,FALSE)</f>
        <v>22931.315200000001</v>
      </c>
      <c r="N420" s="105">
        <f t="shared" si="105"/>
        <v>0.98547678354773716</v>
      </c>
      <c r="O420" s="131">
        <f t="shared" ref="O420:O451" si="109">+M420-(M420*$N$481)</f>
        <v>20179.557376000001</v>
      </c>
      <c r="P420" s="388">
        <f t="shared" si="108"/>
        <v>0.98721956952200873</v>
      </c>
      <c r="Q420" s="131">
        <f t="shared" si="99"/>
        <v>18345.052159999999</v>
      </c>
      <c r="R420" s="105">
        <f t="shared" si="100"/>
        <v>0.98838142683818975</v>
      </c>
      <c r="S420" s="131">
        <f t="shared" si="95"/>
        <v>17198.486400000002</v>
      </c>
      <c r="T420" s="94">
        <f t="shared" si="96"/>
        <v>0.98910758766080287</v>
      </c>
      <c r="V420" s="82"/>
      <c r="W420" s="504">
        <v>372</v>
      </c>
      <c r="X420" s="506" t="s">
        <v>1019</v>
      </c>
      <c r="Y420" s="508">
        <v>0</v>
      </c>
      <c r="Z420" s="403">
        <v>0</v>
      </c>
      <c r="AA420" s="407">
        <f t="shared" si="97"/>
        <v>0.78297866490707135</v>
      </c>
      <c r="AB420" s="411"/>
      <c r="AC420" s="446"/>
    </row>
    <row r="421" spans="1:29">
      <c r="A421" s="67">
        <v>369</v>
      </c>
      <c r="B421" s="74" t="s">
        <v>342</v>
      </c>
      <c r="C421" s="125" t="s">
        <v>365</v>
      </c>
      <c r="D421" s="387">
        <f t="shared" si="101"/>
        <v>0</v>
      </c>
      <c r="E421" s="104">
        <f t="shared" si="98"/>
        <v>4</v>
      </c>
      <c r="F421" s="83">
        <f t="shared" si="102"/>
        <v>102967.16759999999</v>
      </c>
      <c r="G421" s="83">
        <f t="shared" si="103"/>
        <v>0</v>
      </c>
      <c r="H421" s="483">
        <f t="shared" si="104"/>
        <v>0</v>
      </c>
      <c r="I421" s="83">
        <f>+'Costo adq'!C409*$I$1</f>
        <v>2600864</v>
      </c>
      <c r="J421" s="83">
        <f t="shared" si="107"/>
        <v>0</v>
      </c>
      <c r="K421" s="358">
        <f t="shared" si="94"/>
        <v>0</v>
      </c>
      <c r="L421" s="54">
        <f>VLOOKUP(A421,'Precios oferta'!$A$30:$U$436,$B$5,FALSE)</f>
        <v>3973377.088</v>
      </c>
      <c r="M421" s="48">
        <f>VLOOKUP(A421,'Precios piso'!$A$30:$U$436,$B$5,FALSE)</f>
        <v>137289.55679999999</v>
      </c>
      <c r="N421" s="105">
        <f t="shared" si="105"/>
        <v>0.9654476396880054</v>
      </c>
      <c r="O421" s="131">
        <f t="shared" si="109"/>
        <v>120814.80998399999</v>
      </c>
      <c r="P421" s="388">
        <f t="shared" si="108"/>
        <v>0.96959392292544477</v>
      </c>
      <c r="Q421" s="131">
        <f t="shared" si="99"/>
        <v>109831.64543999999</v>
      </c>
      <c r="R421" s="105">
        <f t="shared" si="100"/>
        <v>0.97235811175040432</v>
      </c>
      <c r="S421" s="131">
        <f t="shared" si="95"/>
        <v>102967.16759999999</v>
      </c>
      <c r="T421" s="94">
        <f t="shared" si="96"/>
        <v>0.97408572976600405</v>
      </c>
      <c r="V421" s="82"/>
      <c r="W421" s="504">
        <v>373</v>
      </c>
      <c r="X421" s="506" t="s">
        <v>1020</v>
      </c>
      <c r="Y421" s="508">
        <v>0</v>
      </c>
      <c r="Z421" s="403">
        <v>0</v>
      </c>
      <c r="AA421" s="407">
        <f t="shared" si="97"/>
        <v>0.98428521085336274</v>
      </c>
      <c r="AB421" s="411"/>
      <c r="AC421" s="446"/>
    </row>
    <row r="422" spans="1:29">
      <c r="A422" s="67">
        <v>370</v>
      </c>
      <c r="B422" s="74" t="s">
        <v>343</v>
      </c>
      <c r="C422" s="125" t="s">
        <v>366</v>
      </c>
      <c r="D422" s="387">
        <f t="shared" si="101"/>
        <v>0</v>
      </c>
      <c r="E422" s="104">
        <f t="shared" si="98"/>
        <v>4</v>
      </c>
      <c r="F422" s="83">
        <f t="shared" si="102"/>
        <v>14833.940400000001</v>
      </c>
      <c r="G422" s="83">
        <f t="shared" si="103"/>
        <v>0</v>
      </c>
      <c r="H422" s="483">
        <f t="shared" si="104"/>
        <v>0</v>
      </c>
      <c r="I422" s="83">
        <f>+'Costo adq'!C410*$I$1</f>
        <v>12747.512000000001</v>
      </c>
      <c r="J422" s="83">
        <f t="shared" si="107"/>
        <v>0</v>
      </c>
      <c r="L422" s="54">
        <f>VLOOKUP(A422,'Precios oferta'!$A$30:$U$436,$B$5,FALSE)</f>
        <v>91205.088000000003</v>
      </c>
      <c r="M422" s="48">
        <f>VLOOKUP(A422,'Precios piso'!$A$30:$U$436,$B$5,FALSE)</f>
        <v>19778.587200000002</v>
      </c>
      <c r="N422" s="105">
        <f t="shared" si="105"/>
        <v>0.78314162473040971</v>
      </c>
      <c r="O422" s="131">
        <f t="shared" si="109"/>
        <v>17405.156736000001</v>
      </c>
      <c r="P422" s="388">
        <f t="shared" si="108"/>
        <v>0.8091646297627606</v>
      </c>
      <c r="Q422" s="131">
        <f t="shared" si="99"/>
        <v>15822.869760000001</v>
      </c>
      <c r="R422" s="105">
        <f t="shared" si="100"/>
        <v>0.82651329978432786</v>
      </c>
      <c r="S422" s="131">
        <f t="shared" si="95"/>
        <v>14833.940400000001</v>
      </c>
      <c r="T422" s="94">
        <f t="shared" si="96"/>
        <v>0.83735621854780729</v>
      </c>
      <c r="V422" s="82"/>
      <c r="W422" s="504">
        <v>374</v>
      </c>
      <c r="X422" s="506" t="s">
        <v>1021</v>
      </c>
      <c r="Y422" s="508">
        <v>0</v>
      </c>
      <c r="Z422" s="403">
        <v>0</v>
      </c>
      <c r="AA422" s="407">
        <f t="shared" si="97"/>
        <v>0.8294621026894865</v>
      </c>
      <c r="AB422" s="411"/>
      <c r="AC422" s="446"/>
    </row>
    <row r="423" spans="1:29">
      <c r="A423" s="67">
        <v>371</v>
      </c>
      <c r="B423" s="74" t="s">
        <v>343</v>
      </c>
      <c r="C423" s="125" t="s">
        <v>365</v>
      </c>
      <c r="D423" s="387">
        <f t="shared" si="101"/>
        <v>0.5</v>
      </c>
      <c r="E423" s="104">
        <f t="shared" si="98"/>
        <v>4</v>
      </c>
      <c r="F423" s="83">
        <f t="shared" si="102"/>
        <v>17847.6096</v>
      </c>
      <c r="G423" s="83">
        <f t="shared" si="103"/>
        <v>35695.2192</v>
      </c>
      <c r="H423" s="483">
        <f t="shared" si="104"/>
        <v>0</v>
      </c>
      <c r="I423" s="83">
        <f>+'Costo adq'!C411*$I$1</f>
        <v>458866.72</v>
      </c>
      <c r="J423" s="83">
        <f t="shared" si="107"/>
        <v>917733.44</v>
      </c>
      <c r="K423" s="358">
        <f t="shared" si="94"/>
        <v>688300.08</v>
      </c>
      <c r="L423" s="54">
        <f>VLOOKUP(A423,'Precios oferta'!$A$30:$U$436,$B$5,FALSE)</f>
        <v>2894183.5408000001</v>
      </c>
      <c r="M423" s="48">
        <f>VLOOKUP(A423,'Precios piso'!$A$30:$U$436,$B$5,FALSE)</f>
        <v>23796.8128</v>
      </c>
      <c r="N423" s="105">
        <f t="shared" si="105"/>
        <v>0.99177771123892777</v>
      </c>
      <c r="O423" s="131">
        <f t="shared" si="109"/>
        <v>20941.195264000002</v>
      </c>
      <c r="P423" s="388">
        <f t="shared" si="108"/>
        <v>0.99276438589025651</v>
      </c>
      <c r="Q423" s="131">
        <f t="shared" si="99"/>
        <v>19037.450239999998</v>
      </c>
      <c r="R423" s="105">
        <f t="shared" si="100"/>
        <v>0.99342216899114222</v>
      </c>
      <c r="S423" s="131">
        <f t="shared" si="95"/>
        <v>17847.6096</v>
      </c>
      <c r="T423" s="94">
        <f t="shared" si="96"/>
        <v>0.99383328342919586</v>
      </c>
      <c r="V423" s="82"/>
      <c r="W423" s="504">
        <v>375</v>
      </c>
      <c r="X423" s="506" t="s">
        <v>1022</v>
      </c>
      <c r="Y423" s="508">
        <v>0</v>
      </c>
      <c r="Z423" s="403">
        <v>0</v>
      </c>
      <c r="AA423" s="407">
        <f t="shared" si="97"/>
        <v>0.98850215346323256</v>
      </c>
      <c r="AB423" s="411"/>
      <c r="AC423" s="446"/>
    </row>
    <row r="424" spans="1:29">
      <c r="A424" s="67">
        <v>372</v>
      </c>
      <c r="B424" s="74" t="s">
        <v>344</v>
      </c>
      <c r="C424" s="125" t="s">
        <v>366</v>
      </c>
      <c r="D424" s="387">
        <f t="shared" si="101"/>
        <v>0</v>
      </c>
      <c r="E424" s="104">
        <f t="shared" si="98"/>
        <v>4</v>
      </c>
      <c r="F424" s="83">
        <f t="shared" si="102"/>
        <v>25878.0504</v>
      </c>
      <c r="G424" s="83">
        <f t="shared" si="103"/>
        <v>0</v>
      </c>
      <c r="H424" s="483">
        <f t="shared" si="104"/>
        <v>0</v>
      </c>
      <c r="I424" s="83">
        <f>+'Costo adq'!C412*$I$1</f>
        <v>79107.792000000001</v>
      </c>
      <c r="J424" s="83">
        <f t="shared" si="107"/>
        <v>0</v>
      </c>
      <c r="L424" s="54">
        <f>VLOOKUP(A424,'Precios oferta'!$A$30:$U$436,$B$5,FALSE)</f>
        <v>119241.9648</v>
      </c>
      <c r="M424" s="48">
        <f>VLOOKUP(A424,'Precios piso'!$A$30:$U$436,$B$5,FALSE)</f>
        <v>34504.067199999998</v>
      </c>
      <c r="N424" s="105">
        <f t="shared" si="105"/>
        <v>0.71063821987609521</v>
      </c>
      <c r="O424" s="131">
        <f t="shared" si="109"/>
        <v>30363.579136</v>
      </c>
      <c r="P424" s="388">
        <f t="shared" si="108"/>
        <v>0.74536163349096374</v>
      </c>
      <c r="Q424" s="131">
        <f t="shared" si="99"/>
        <v>27603.25376</v>
      </c>
      <c r="R424" s="105">
        <f t="shared" si="100"/>
        <v>0.76851057590087613</v>
      </c>
      <c r="S424" s="131">
        <f t="shared" si="95"/>
        <v>25878.0504</v>
      </c>
      <c r="T424" s="94">
        <f t="shared" si="96"/>
        <v>0.78297866490707135</v>
      </c>
      <c r="V424" s="82"/>
      <c r="W424" s="504">
        <v>376</v>
      </c>
      <c r="X424" s="506" t="s">
        <v>1023</v>
      </c>
      <c r="Y424" s="508">
        <v>0</v>
      </c>
      <c r="Z424" s="403">
        <v>0</v>
      </c>
      <c r="AA424" s="407">
        <f t="shared" si="97"/>
        <v>0.79559260899829143</v>
      </c>
      <c r="AB424" s="411"/>
      <c r="AC424" s="446"/>
    </row>
    <row r="425" spans="1:29">
      <c r="A425" s="67">
        <v>373</v>
      </c>
      <c r="B425" s="74" t="s">
        <v>344</v>
      </c>
      <c r="C425" s="125" t="s">
        <v>365</v>
      </c>
      <c r="D425" s="387">
        <f t="shared" si="101"/>
        <v>0</v>
      </c>
      <c r="E425" s="104">
        <f t="shared" si="98"/>
        <v>4</v>
      </c>
      <c r="F425" s="83">
        <f t="shared" si="102"/>
        <v>64520.551200000002</v>
      </c>
      <c r="G425" s="83">
        <f t="shared" si="103"/>
        <v>0</v>
      </c>
      <c r="H425" s="483">
        <f t="shared" si="104"/>
        <v>0</v>
      </c>
      <c r="I425" s="83">
        <f>+'Costo adq'!C413*$I$1</f>
        <v>2847946.08</v>
      </c>
      <c r="J425" s="83">
        <f t="shared" si="107"/>
        <v>0</v>
      </c>
      <c r="K425" s="358">
        <f t="shared" si="94"/>
        <v>0</v>
      </c>
      <c r="L425" s="54">
        <f>VLOOKUP(A425,'Precios oferta'!$A$30:$U$436,$B$5,FALSE)</f>
        <v>4105721.7248</v>
      </c>
      <c r="M425" s="48">
        <f>VLOOKUP(A425,'Precios piso'!$A$30:$U$436,$B$5,FALSE)</f>
        <v>86027.401599999997</v>
      </c>
      <c r="N425" s="105">
        <f t="shared" si="105"/>
        <v>0.97904694780448365</v>
      </c>
      <c r="O425" s="131">
        <f t="shared" si="109"/>
        <v>75704.113408000005</v>
      </c>
      <c r="P425" s="388">
        <f t="shared" si="108"/>
        <v>0.98156131406794556</v>
      </c>
      <c r="Q425" s="131">
        <f t="shared" si="99"/>
        <v>68821.921279999995</v>
      </c>
      <c r="R425" s="105">
        <f t="shared" si="100"/>
        <v>0.98323755824358683</v>
      </c>
      <c r="S425" s="131">
        <f t="shared" si="95"/>
        <v>64520.551200000002</v>
      </c>
      <c r="T425" s="94">
        <f t="shared" si="96"/>
        <v>0.98428521085336274</v>
      </c>
      <c r="V425" s="82"/>
      <c r="W425" s="504">
        <v>377</v>
      </c>
      <c r="X425" s="506" t="s">
        <v>1024</v>
      </c>
      <c r="Y425" s="508">
        <v>0</v>
      </c>
      <c r="Z425" s="403">
        <v>0</v>
      </c>
      <c r="AA425" s="407">
        <f t="shared" si="97"/>
        <v>0.98251433622702233</v>
      </c>
      <c r="AB425" s="411"/>
      <c r="AC425" s="446"/>
    </row>
    <row r="426" spans="1:29">
      <c r="A426" s="67">
        <v>374</v>
      </c>
      <c r="B426" s="74" t="s">
        <v>345</v>
      </c>
      <c r="C426" s="125" t="s">
        <v>366</v>
      </c>
      <c r="D426" s="387">
        <f t="shared" si="101"/>
        <v>0</v>
      </c>
      <c r="E426" s="104">
        <f t="shared" si="98"/>
        <v>4</v>
      </c>
      <c r="F426" s="83">
        <f t="shared" si="102"/>
        <v>3430.0260000000003</v>
      </c>
      <c r="G426" s="83">
        <f t="shared" si="103"/>
        <v>0</v>
      </c>
      <c r="H426" s="483">
        <f t="shared" si="104"/>
        <v>0</v>
      </c>
      <c r="I426" s="83">
        <f>+'Costo adq'!C414*$I$1</f>
        <v>5130.6959999999999</v>
      </c>
      <c r="J426" s="83">
        <f t="shared" si="107"/>
        <v>0</v>
      </c>
      <c r="L426" s="54">
        <f>VLOOKUP(A426,'Precios oferta'!$A$30:$U$436,$B$5,FALSE)</f>
        <v>20112.984</v>
      </c>
      <c r="M426" s="48">
        <f>VLOOKUP(A426,'Precios piso'!$A$30:$U$436,$B$5,FALSE)</f>
        <v>4573.3680000000004</v>
      </c>
      <c r="N426" s="105">
        <f t="shared" si="105"/>
        <v>0.77261613691931541</v>
      </c>
      <c r="O426" s="131">
        <f t="shared" si="109"/>
        <v>4024.5638400000003</v>
      </c>
      <c r="P426" s="388">
        <f t="shared" si="108"/>
        <v>0.79990220048899752</v>
      </c>
      <c r="Q426" s="131">
        <f t="shared" si="99"/>
        <v>3658.6944000000003</v>
      </c>
      <c r="R426" s="105">
        <f t="shared" si="100"/>
        <v>0.81809290953545233</v>
      </c>
      <c r="S426" s="131">
        <f t="shared" si="95"/>
        <v>3430.0260000000003</v>
      </c>
      <c r="T426" s="94">
        <f t="shared" si="96"/>
        <v>0.8294621026894865</v>
      </c>
      <c r="V426" s="82"/>
      <c r="W426" s="504">
        <v>378</v>
      </c>
      <c r="X426" s="506" t="s">
        <v>1025</v>
      </c>
      <c r="Y426" s="508">
        <v>0</v>
      </c>
      <c r="Z426" s="403">
        <v>0</v>
      </c>
      <c r="AA426" s="407">
        <f t="shared" si="97"/>
        <v>0.99131044288618353</v>
      </c>
      <c r="AB426" s="411"/>
      <c r="AC426" s="446"/>
    </row>
    <row r="427" spans="1:29">
      <c r="A427" s="67">
        <v>375</v>
      </c>
      <c r="B427" s="74" t="s">
        <v>345</v>
      </c>
      <c r="C427" s="125" t="s">
        <v>365</v>
      </c>
      <c r="D427" s="387">
        <f t="shared" si="101"/>
        <v>0</v>
      </c>
      <c r="E427" s="104">
        <f t="shared" si="98"/>
        <v>4</v>
      </c>
      <c r="F427" s="83">
        <f t="shared" si="102"/>
        <v>4119.3096000000005</v>
      </c>
      <c r="G427" s="83">
        <f t="shared" si="103"/>
        <v>0</v>
      </c>
      <c r="H427" s="483">
        <f t="shared" si="104"/>
        <v>0</v>
      </c>
      <c r="I427" s="83">
        <f>+'Costo adq'!C415*$I$1</f>
        <v>184661.34400000001</v>
      </c>
      <c r="J427" s="83">
        <f t="shared" si="107"/>
        <v>0</v>
      </c>
      <c r="K427" s="358">
        <f t="shared" si="94"/>
        <v>0</v>
      </c>
      <c r="L427" s="54">
        <f>VLOOKUP(A427,'Precios oferta'!$A$30:$U$436,$B$5,FALSE)</f>
        <v>358267.92320000002</v>
      </c>
      <c r="M427" s="48">
        <f>VLOOKUP(A427,'Precios piso'!$A$30:$U$436,$B$5,FALSE)</f>
        <v>5492.4128000000001</v>
      </c>
      <c r="N427" s="105">
        <f t="shared" si="105"/>
        <v>0.98466953795097667</v>
      </c>
      <c r="O427" s="131">
        <f t="shared" si="109"/>
        <v>4833.3232640000006</v>
      </c>
      <c r="P427" s="388">
        <f t="shared" si="108"/>
        <v>0.9865091933968595</v>
      </c>
      <c r="Q427" s="131">
        <f t="shared" si="99"/>
        <v>4393.9302399999997</v>
      </c>
      <c r="R427" s="105">
        <f t="shared" si="100"/>
        <v>0.98773563036078138</v>
      </c>
      <c r="S427" s="131">
        <f t="shared" si="95"/>
        <v>4119.3096000000005</v>
      </c>
      <c r="T427" s="94">
        <f t="shared" si="96"/>
        <v>0.98850215346323256</v>
      </c>
      <c r="V427" s="82"/>
      <c r="W427" s="504">
        <v>379</v>
      </c>
      <c r="X427" s="506" t="s">
        <v>1026</v>
      </c>
      <c r="Y427" s="508">
        <v>0</v>
      </c>
      <c r="Z427" s="403">
        <v>0</v>
      </c>
      <c r="AA427" s="407">
        <f t="shared" si="97"/>
        <v>0.9897080355883312</v>
      </c>
      <c r="AB427" s="411"/>
      <c r="AC427" s="446"/>
    </row>
    <row r="428" spans="1:29">
      <c r="A428" s="67">
        <v>376</v>
      </c>
      <c r="B428" s="74" t="s">
        <v>346</v>
      </c>
      <c r="C428" s="125" t="s">
        <v>366</v>
      </c>
      <c r="D428" s="387">
        <f t="shared" si="101"/>
        <v>0</v>
      </c>
      <c r="E428" s="104">
        <f t="shared" si="98"/>
        <v>4</v>
      </c>
      <c r="F428" s="83">
        <f t="shared" si="102"/>
        <v>3530.0171999999998</v>
      </c>
      <c r="G428" s="83">
        <f t="shared" si="103"/>
        <v>0</v>
      </c>
      <c r="H428" s="483">
        <f t="shared" si="104"/>
        <v>0</v>
      </c>
      <c r="I428" s="83">
        <f>+'Costo adq'!C416*$I$1</f>
        <v>3070.768</v>
      </c>
      <c r="J428" s="83">
        <f t="shared" si="107"/>
        <v>0</v>
      </c>
      <c r="L428" s="54">
        <f>VLOOKUP(A428,'Precios oferta'!$A$30:$U$436,$B$5,FALSE)</f>
        <v>17269.518400000001</v>
      </c>
      <c r="M428" s="48">
        <f>VLOOKUP(A428,'Precios piso'!$A$30:$U$436,$B$5,FALSE)</f>
        <v>4706.6895999999997</v>
      </c>
      <c r="N428" s="105">
        <f t="shared" si="105"/>
        <v>0.72745681199772205</v>
      </c>
      <c r="O428" s="131">
        <f t="shared" si="109"/>
        <v>4141.8868480000001</v>
      </c>
      <c r="P428" s="388">
        <f t="shared" si="108"/>
        <v>0.76016199455799538</v>
      </c>
      <c r="Q428" s="131">
        <f t="shared" si="99"/>
        <v>3765.3516799999998</v>
      </c>
      <c r="R428" s="105">
        <f t="shared" si="100"/>
        <v>0.7819654495981776</v>
      </c>
      <c r="S428" s="131">
        <f t="shared" si="95"/>
        <v>3530.0171999999998</v>
      </c>
      <c r="T428" s="94">
        <f t="shared" si="96"/>
        <v>0.79559260899829143</v>
      </c>
      <c r="V428" s="82"/>
      <c r="W428" s="504">
        <v>380</v>
      </c>
      <c r="X428" s="506" t="s">
        <v>1027</v>
      </c>
      <c r="Y428" s="508">
        <v>0</v>
      </c>
      <c r="Z428" s="403">
        <v>0</v>
      </c>
      <c r="AA428" s="407">
        <f t="shared" si="97"/>
        <v>0.83788971226383602</v>
      </c>
      <c r="AB428" s="411"/>
      <c r="AC428" s="446"/>
    </row>
    <row r="429" spans="1:29">
      <c r="A429" s="67">
        <v>377</v>
      </c>
      <c r="B429" s="74" t="s">
        <v>346</v>
      </c>
      <c r="C429" s="125" t="s">
        <v>365</v>
      </c>
      <c r="D429" s="387">
        <f t="shared" si="101"/>
        <v>0</v>
      </c>
      <c r="E429" s="104">
        <f t="shared" si="98"/>
        <v>4</v>
      </c>
      <c r="F429" s="83">
        <f t="shared" si="102"/>
        <v>4215.2028</v>
      </c>
      <c r="G429" s="83">
        <f t="shared" si="103"/>
        <v>0</v>
      </c>
      <c r="H429" s="483">
        <f t="shared" si="104"/>
        <v>0</v>
      </c>
      <c r="I429" s="83">
        <f>+'Costo adq'!C417*$I$1</f>
        <v>110536.72</v>
      </c>
      <c r="J429" s="83">
        <f t="shared" si="107"/>
        <v>0</v>
      </c>
      <c r="K429" s="358">
        <f t="shared" si="94"/>
        <v>0</v>
      </c>
      <c r="L429" s="54">
        <f>VLOOKUP(A429,'Precios oferta'!$A$30:$U$436,$B$5,FALSE)</f>
        <v>241066.21600000001</v>
      </c>
      <c r="M429" s="48">
        <f>VLOOKUP(A429,'Precios piso'!$A$30:$U$436,$B$5,FALSE)</f>
        <v>5620.2704000000003</v>
      </c>
      <c r="N429" s="105">
        <f t="shared" si="105"/>
        <v>0.97668578163602982</v>
      </c>
      <c r="O429" s="131">
        <f t="shared" si="109"/>
        <v>4945.8379519999999</v>
      </c>
      <c r="P429" s="388">
        <f t="shared" si="108"/>
        <v>0.97948348783970629</v>
      </c>
      <c r="Q429" s="131">
        <f t="shared" si="99"/>
        <v>4496.2163200000005</v>
      </c>
      <c r="R429" s="105">
        <f t="shared" si="100"/>
        <v>0.98134862530882383</v>
      </c>
      <c r="S429" s="131">
        <f t="shared" si="95"/>
        <v>4215.2028</v>
      </c>
      <c r="T429" s="94">
        <f t="shared" si="96"/>
        <v>0.98251433622702233</v>
      </c>
      <c r="V429" s="82"/>
      <c r="W429" s="504">
        <v>381</v>
      </c>
      <c r="X429" s="506" t="s">
        <v>1028</v>
      </c>
      <c r="Y429" s="508">
        <v>0</v>
      </c>
      <c r="Z429" s="403">
        <v>0</v>
      </c>
      <c r="AA429" s="407">
        <f t="shared" si="97"/>
        <v>0.98834596153736642</v>
      </c>
      <c r="AB429" s="411"/>
      <c r="AC429" s="446"/>
    </row>
    <row r="430" spans="1:29">
      <c r="A430" s="67">
        <v>378</v>
      </c>
      <c r="B430" s="74" t="s">
        <v>347</v>
      </c>
      <c r="C430" s="125" t="s">
        <v>365</v>
      </c>
      <c r="D430" s="387">
        <f t="shared" si="101"/>
        <v>0</v>
      </c>
      <c r="E430" s="104">
        <f t="shared" si="98"/>
        <v>4</v>
      </c>
      <c r="F430" s="83">
        <f t="shared" si="102"/>
        <v>6651.8736000000008</v>
      </c>
      <c r="G430" s="83">
        <f t="shared" si="103"/>
        <v>0</v>
      </c>
      <c r="H430" s="483">
        <f t="shared" si="104"/>
        <v>0</v>
      </c>
      <c r="I430" s="83">
        <f>+'Costo adq'!C418*$I$1</f>
        <v>199492.82560000001</v>
      </c>
      <c r="J430" s="83">
        <f t="shared" si="107"/>
        <v>0</v>
      </c>
      <c r="K430" s="358">
        <f t="shared" si="94"/>
        <v>0</v>
      </c>
      <c r="L430" s="54">
        <f>VLOOKUP(A430,'Precios oferta'!$A$30:$U$436,$B$5,FALSE)</f>
        <v>765502.02879999997</v>
      </c>
      <c r="M430" s="48">
        <f>VLOOKUP(A430,'Precios piso'!$A$30:$U$436,$B$5,FALSE)</f>
        <v>8869.1648000000005</v>
      </c>
      <c r="N430" s="105">
        <f t="shared" si="105"/>
        <v>0.98841392384824467</v>
      </c>
      <c r="O430" s="131">
        <f t="shared" si="109"/>
        <v>7804.8650240000006</v>
      </c>
      <c r="P430" s="388">
        <f t="shared" si="108"/>
        <v>0.98980425298645536</v>
      </c>
      <c r="Q430" s="131">
        <f t="shared" si="99"/>
        <v>7095.3318400000007</v>
      </c>
      <c r="R430" s="105">
        <f t="shared" si="100"/>
        <v>0.99073113907859578</v>
      </c>
      <c r="S430" s="131">
        <f t="shared" si="95"/>
        <v>6651.8736000000008</v>
      </c>
      <c r="T430" s="94">
        <f t="shared" si="96"/>
        <v>0.99131044288618353</v>
      </c>
      <c r="V430" s="82"/>
      <c r="W430" s="504">
        <v>382</v>
      </c>
      <c r="X430" s="506" t="s">
        <v>1029</v>
      </c>
      <c r="Y430" s="508">
        <v>0</v>
      </c>
      <c r="Z430" s="403">
        <v>0</v>
      </c>
      <c r="AA430" s="407">
        <f t="shared" si="97"/>
        <v>0.85476409359153049</v>
      </c>
      <c r="AB430" s="411"/>
      <c r="AC430" s="446"/>
    </row>
    <row r="431" spans="1:29">
      <c r="A431" s="67">
        <v>379</v>
      </c>
      <c r="B431" s="74" t="s">
        <v>348</v>
      </c>
      <c r="C431" s="125" t="s">
        <v>365</v>
      </c>
      <c r="D431" s="387">
        <f t="shared" si="101"/>
        <v>0</v>
      </c>
      <c r="E431" s="104">
        <f t="shared" si="98"/>
        <v>4</v>
      </c>
      <c r="F431" s="83">
        <f t="shared" si="102"/>
        <v>9248.366399999999</v>
      </c>
      <c r="G431" s="83">
        <f t="shared" si="103"/>
        <v>0</v>
      </c>
      <c r="H431" s="483">
        <f t="shared" si="104"/>
        <v>0</v>
      </c>
      <c r="I431" s="83">
        <f>+'Costo adq'!C419*$I$1</f>
        <v>237880.704</v>
      </c>
      <c r="J431" s="83">
        <f>I431*E431*D431</f>
        <v>0</v>
      </c>
      <c r="K431" s="358">
        <f t="shared" ref="K431:K459" si="110">+(J431/E431)*(E431-1)</f>
        <v>0</v>
      </c>
      <c r="L431" s="54">
        <f>VLOOKUP(A431,'Precios oferta'!$A$30:$U$436,$B$5,FALSE)</f>
        <v>898600.69759999996</v>
      </c>
      <c r="M431" s="48">
        <f>VLOOKUP(A431,'Precios piso'!$A$30:$U$436,$B$5,FALSE)</f>
        <v>12331.155199999999</v>
      </c>
      <c r="N431" s="105">
        <f t="shared" si="105"/>
        <v>0.98627738078444149</v>
      </c>
      <c r="O431" s="131">
        <f t="shared" si="109"/>
        <v>10851.416576</v>
      </c>
      <c r="P431" s="388">
        <f t="shared" si="108"/>
        <v>0.98792409509030854</v>
      </c>
      <c r="Q431" s="131">
        <f t="shared" si="99"/>
        <v>9864.9241599999987</v>
      </c>
      <c r="R431" s="105">
        <f t="shared" si="100"/>
        <v>0.98902190462755324</v>
      </c>
      <c r="S431" s="131">
        <f t="shared" si="95"/>
        <v>9248.366399999999</v>
      </c>
      <c r="T431" s="94">
        <f t="shared" si="96"/>
        <v>0.9897080355883312</v>
      </c>
      <c r="V431" s="82"/>
      <c r="W431" s="504">
        <v>383</v>
      </c>
      <c r="X431" s="506" t="s">
        <v>1030</v>
      </c>
      <c r="Y431" s="508">
        <v>0</v>
      </c>
      <c r="Z431" s="403">
        <v>0</v>
      </c>
      <c r="AA431" s="407">
        <f t="shared" si="97"/>
        <v>0.98727112180650933</v>
      </c>
      <c r="AB431" s="411"/>
      <c r="AC431" s="446"/>
    </row>
    <row r="432" spans="1:29">
      <c r="A432" s="67">
        <v>380</v>
      </c>
      <c r="B432" s="74" t="s">
        <v>349</v>
      </c>
      <c r="C432" s="125" t="s">
        <v>366</v>
      </c>
      <c r="D432" s="387">
        <f t="shared" si="101"/>
        <v>0</v>
      </c>
      <c r="E432" s="104">
        <f t="shared" si="98"/>
        <v>4</v>
      </c>
      <c r="F432" s="83">
        <f t="shared" si="102"/>
        <v>15921.549599999998</v>
      </c>
      <c r="G432" s="83">
        <f t="shared" si="103"/>
        <v>0</v>
      </c>
      <c r="H432" s="483">
        <f t="shared" si="104"/>
        <v>0</v>
      </c>
      <c r="I432" s="83">
        <f>+'Costo adq'!C420*$I$1</f>
        <v>24746.455999999998</v>
      </c>
      <c r="J432" s="83">
        <f t="shared" si="107"/>
        <v>0</v>
      </c>
      <c r="L432" s="54">
        <f>VLOOKUP(A432,'Precios oferta'!$A$30:$U$436,$B$5,FALSE)</f>
        <v>98214.307199999996</v>
      </c>
      <c r="M432" s="48">
        <f>VLOOKUP(A432,'Precios piso'!$A$30:$U$436,$B$5,FALSE)</f>
        <v>21228.732799999998</v>
      </c>
      <c r="N432" s="105">
        <f t="shared" si="105"/>
        <v>0.78385294968511476</v>
      </c>
      <c r="O432" s="131">
        <f t="shared" si="109"/>
        <v>18681.284863999997</v>
      </c>
      <c r="P432" s="388">
        <f t="shared" si="108"/>
        <v>0.80979059572290102</v>
      </c>
      <c r="Q432" s="131">
        <f t="shared" si="99"/>
        <v>16982.986239999998</v>
      </c>
      <c r="R432" s="105">
        <f t="shared" si="100"/>
        <v>0.82708235974809174</v>
      </c>
      <c r="S432" s="131">
        <f t="shared" si="95"/>
        <v>15921.549599999998</v>
      </c>
      <c r="T432" s="94">
        <f t="shared" si="96"/>
        <v>0.83788971226383602</v>
      </c>
      <c r="V432" s="82"/>
      <c r="W432" s="504">
        <v>384</v>
      </c>
      <c r="X432" s="506" t="s">
        <v>1031</v>
      </c>
      <c r="Y432" s="508">
        <v>0</v>
      </c>
      <c r="Z432" s="403">
        <v>0</v>
      </c>
      <c r="AA432" s="407">
        <f t="shared" si="97"/>
        <v>0.75892292089249491</v>
      </c>
      <c r="AB432" s="411"/>
      <c r="AC432" s="446"/>
    </row>
    <row r="433" spans="1:29">
      <c r="A433" s="67">
        <v>381</v>
      </c>
      <c r="B433" s="74" t="s">
        <v>349</v>
      </c>
      <c r="C433" s="125" t="s">
        <v>365</v>
      </c>
      <c r="D433" s="387">
        <f t="shared" si="101"/>
        <v>0</v>
      </c>
      <c r="E433" s="104">
        <f t="shared" si="98"/>
        <v>4</v>
      </c>
      <c r="F433" s="83">
        <f t="shared" si="102"/>
        <v>26836.162799999998</v>
      </c>
      <c r="G433" s="83">
        <f t="shared" si="103"/>
        <v>0</v>
      </c>
      <c r="H433" s="483">
        <f t="shared" si="104"/>
        <v>0</v>
      </c>
      <c r="I433" s="83">
        <f>+'Costo adq'!C421*$I$1</f>
        <v>890795.92</v>
      </c>
      <c r="J433" s="83">
        <f t="shared" si="107"/>
        <v>0</v>
      </c>
      <c r="K433" s="358">
        <f t="shared" si="110"/>
        <v>0</v>
      </c>
      <c r="L433" s="54">
        <f>VLOOKUP(A433,'Precios oferta'!$A$30:$U$436,$B$5,FALSE)</f>
        <v>2302735.0463999999</v>
      </c>
      <c r="M433" s="48">
        <f>VLOOKUP(A433,'Precios piso'!$A$30:$U$436,$B$5,FALSE)</f>
        <v>35781.5504</v>
      </c>
      <c r="N433" s="105">
        <f t="shared" si="105"/>
        <v>0.98446128204982186</v>
      </c>
      <c r="O433" s="131">
        <f t="shared" si="109"/>
        <v>31487.764351999998</v>
      </c>
      <c r="P433" s="388">
        <f t="shared" si="108"/>
        <v>0.98632592820384324</v>
      </c>
      <c r="Q433" s="131">
        <f t="shared" si="99"/>
        <v>28625.240320000001</v>
      </c>
      <c r="R433" s="105">
        <f t="shared" si="100"/>
        <v>0.98756902563985749</v>
      </c>
      <c r="S433" s="131">
        <f t="shared" si="95"/>
        <v>26836.162799999998</v>
      </c>
      <c r="T433" s="94">
        <f t="shared" si="96"/>
        <v>0.98834596153736642</v>
      </c>
      <c r="V433" s="82"/>
      <c r="W433" s="504">
        <v>385</v>
      </c>
      <c r="X433" s="506" t="s">
        <v>1032</v>
      </c>
      <c r="Y433" s="508">
        <v>0</v>
      </c>
      <c r="Z433" s="403">
        <v>0</v>
      </c>
      <c r="AA433" s="407">
        <f t="shared" si="97"/>
        <v>0.98801447556313049</v>
      </c>
      <c r="AB433" s="411"/>
      <c r="AC433" s="446"/>
    </row>
    <row r="434" spans="1:29">
      <c r="A434" s="67">
        <v>382</v>
      </c>
      <c r="B434" s="74" t="s">
        <v>350</v>
      </c>
      <c r="C434" s="125" t="s">
        <v>366</v>
      </c>
      <c r="D434" s="387">
        <f t="shared" si="101"/>
        <v>0</v>
      </c>
      <c r="E434" s="104">
        <f t="shared" si="98"/>
        <v>4</v>
      </c>
      <c r="F434" s="83">
        <f t="shared" si="102"/>
        <v>26759.94</v>
      </c>
      <c r="G434" s="83">
        <f t="shared" si="103"/>
        <v>0</v>
      </c>
      <c r="H434" s="483">
        <f t="shared" si="104"/>
        <v>0</v>
      </c>
      <c r="I434" s="83">
        <f>+'Costo adq'!C422*$I$1</f>
        <v>29079.407999999999</v>
      </c>
      <c r="J434" s="83">
        <f t="shared" si="107"/>
        <v>0</v>
      </c>
      <c r="L434" s="54">
        <f>VLOOKUP(A434,'Precios oferta'!$A$30:$U$436,$B$5,FALSE)</f>
        <v>184251.54399999999</v>
      </c>
      <c r="M434" s="48">
        <f>VLOOKUP(A434,'Precios piso'!$A$30:$U$436,$B$5,FALSE)</f>
        <v>35679.919999999998</v>
      </c>
      <c r="N434" s="105">
        <f t="shared" si="105"/>
        <v>0.80635212478870733</v>
      </c>
      <c r="O434" s="131">
        <f t="shared" si="109"/>
        <v>31398.329599999997</v>
      </c>
      <c r="P434" s="388">
        <f t="shared" si="108"/>
        <v>0.82958986981406246</v>
      </c>
      <c r="Q434" s="131">
        <f t="shared" si="99"/>
        <v>28543.935999999998</v>
      </c>
      <c r="R434" s="105">
        <f t="shared" si="100"/>
        <v>0.84508169983096582</v>
      </c>
      <c r="S434" s="131">
        <f t="shared" ref="S434:S459" si="111">+M434-(M434*25%)</f>
        <v>26759.94</v>
      </c>
      <c r="T434" s="94">
        <f t="shared" ref="T434:T459" si="112">1-(S434/L434)</f>
        <v>0.85476409359153049</v>
      </c>
      <c r="V434" s="82"/>
      <c r="W434" s="504">
        <v>386</v>
      </c>
      <c r="X434" s="506" t="s">
        <v>1033</v>
      </c>
      <c r="Y434" s="508">
        <v>0</v>
      </c>
      <c r="Z434" s="403">
        <v>0</v>
      </c>
      <c r="AA434" s="407">
        <f t="shared" ref="AA434:AA455" si="113">VLOOKUP(W434,$A$49:$T$459,$AB$48,FALSE)</f>
        <v>0.75150161291582374</v>
      </c>
      <c r="AB434" s="411"/>
      <c r="AC434" s="446"/>
    </row>
    <row r="435" spans="1:29">
      <c r="A435" s="67">
        <v>383</v>
      </c>
      <c r="B435" s="74" t="s">
        <v>350</v>
      </c>
      <c r="C435" s="125" t="s">
        <v>365</v>
      </c>
      <c r="D435" s="387">
        <f t="shared" si="101"/>
        <v>0</v>
      </c>
      <c r="E435" s="104">
        <f t="shared" si="98"/>
        <v>4</v>
      </c>
      <c r="F435" s="83">
        <f t="shared" si="102"/>
        <v>51756.920399999995</v>
      </c>
      <c r="G435" s="83">
        <f t="shared" si="103"/>
        <v>0</v>
      </c>
      <c r="H435" s="483">
        <f t="shared" si="104"/>
        <v>0</v>
      </c>
      <c r="I435" s="83">
        <f>+'Costo adq'!C423*$I$1</f>
        <v>1046847.76</v>
      </c>
      <c r="J435" s="83">
        <f t="shared" si="107"/>
        <v>0</v>
      </c>
      <c r="K435" s="358">
        <f t="shared" si="110"/>
        <v>0</v>
      </c>
      <c r="L435" s="54">
        <f>VLOOKUP(A435,'Precios oferta'!$A$30:$U$436,$B$5,FALSE)</f>
        <v>4066102.2607999998</v>
      </c>
      <c r="M435" s="48">
        <f>VLOOKUP(A435,'Precios piso'!$A$30:$U$436,$B$5,FALSE)</f>
        <v>69009.227199999994</v>
      </c>
      <c r="N435" s="105">
        <f t="shared" si="105"/>
        <v>0.98302816240867918</v>
      </c>
      <c r="O435" s="131">
        <f t="shared" si="109"/>
        <v>60728.119935999996</v>
      </c>
      <c r="P435" s="388">
        <f t="shared" si="108"/>
        <v>0.98506478291963773</v>
      </c>
      <c r="Q435" s="131">
        <f t="shared" si="99"/>
        <v>55207.381759999997</v>
      </c>
      <c r="R435" s="105">
        <f t="shared" si="100"/>
        <v>0.98642252992694335</v>
      </c>
      <c r="S435" s="131">
        <f t="shared" si="111"/>
        <v>51756.920399999995</v>
      </c>
      <c r="T435" s="94">
        <f t="shared" si="112"/>
        <v>0.98727112180650933</v>
      </c>
      <c r="V435" s="82"/>
      <c r="W435" s="504">
        <v>387</v>
      </c>
      <c r="X435" s="506" t="s">
        <v>1034</v>
      </c>
      <c r="Y435" s="508">
        <v>0</v>
      </c>
      <c r="Z435" s="403">
        <v>0</v>
      </c>
      <c r="AA435" s="407">
        <f t="shared" si="113"/>
        <v>0.98780197050048646</v>
      </c>
      <c r="AB435" s="411"/>
      <c r="AC435" s="446"/>
    </row>
    <row r="436" spans="1:29">
      <c r="A436" s="67">
        <v>384</v>
      </c>
      <c r="B436" s="74" t="s">
        <v>351</v>
      </c>
      <c r="C436" s="125" t="s">
        <v>366</v>
      </c>
      <c r="D436" s="387">
        <f t="shared" si="101"/>
        <v>0</v>
      </c>
      <c r="E436" s="104">
        <f t="shared" si="98"/>
        <v>4</v>
      </c>
      <c r="F436" s="83">
        <f t="shared" si="102"/>
        <v>64940.186400000006</v>
      </c>
      <c r="G436" s="83">
        <f t="shared" si="103"/>
        <v>0</v>
      </c>
      <c r="H436" s="483">
        <f t="shared" si="104"/>
        <v>0</v>
      </c>
      <c r="I436" s="83">
        <f>+'Costo adq'!C424*$I$1</f>
        <v>80555.751999999993</v>
      </c>
      <c r="J436" s="83">
        <f t="shared" si="107"/>
        <v>0</v>
      </c>
      <c r="L436" s="54">
        <f>VLOOKUP(A436,'Precios oferta'!$A$30:$U$436,$B$5,FALSE)</f>
        <v>269375.2</v>
      </c>
      <c r="M436" s="48">
        <f>VLOOKUP(A436,'Precios piso'!$A$30:$U$436,$B$5,FALSE)</f>
        <v>86586.915200000003</v>
      </c>
      <c r="N436" s="105">
        <f t="shared" si="105"/>
        <v>0.67856389452332655</v>
      </c>
      <c r="O436" s="131">
        <f t="shared" si="109"/>
        <v>76196.485375999997</v>
      </c>
      <c r="P436" s="388">
        <f t="shared" si="108"/>
        <v>0.71713622718052739</v>
      </c>
      <c r="Q436" s="131">
        <f t="shared" si="99"/>
        <v>69269.532160000002</v>
      </c>
      <c r="R436" s="105">
        <f t="shared" si="100"/>
        <v>0.74285111561866124</v>
      </c>
      <c r="S436" s="131">
        <f t="shared" si="111"/>
        <v>64940.186400000006</v>
      </c>
      <c r="T436" s="94">
        <f t="shared" si="112"/>
        <v>0.75892292089249491</v>
      </c>
      <c r="V436" s="82"/>
      <c r="W436" s="504">
        <v>388</v>
      </c>
      <c r="X436" s="506" t="s">
        <v>1035</v>
      </c>
      <c r="Y436" s="508">
        <v>0</v>
      </c>
      <c r="Z436" s="403">
        <v>0</v>
      </c>
      <c r="AA436" s="407">
        <f t="shared" si="113"/>
        <v>0.6709118701199851</v>
      </c>
      <c r="AB436" s="411"/>
      <c r="AC436" s="446"/>
    </row>
    <row r="437" spans="1:29">
      <c r="A437" s="67">
        <v>385</v>
      </c>
      <c r="B437" s="74" t="s">
        <v>351</v>
      </c>
      <c r="C437" s="125" t="s">
        <v>365</v>
      </c>
      <c r="D437" s="387">
        <f t="shared" si="101"/>
        <v>0</v>
      </c>
      <c r="E437" s="104">
        <f t="shared" si="98"/>
        <v>4</v>
      </c>
      <c r="F437" s="83">
        <f t="shared" si="102"/>
        <v>68241.535199999998</v>
      </c>
      <c r="G437" s="83">
        <f t="shared" si="103"/>
        <v>0</v>
      </c>
      <c r="H437" s="483">
        <f t="shared" si="104"/>
        <v>0</v>
      </c>
      <c r="I437" s="83">
        <f>+'Costo adq'!C425*$I$1</f>
        <v>2899963.36</v>
      </c>
      <c r="J437" s="83">
        <f t="shared" si="107"/>
        <v>0</v>
      </c>
      <c r="K437" s="358">
        <f t="shared" si="110"/>
        <v>0</v>
      </c>
      <c r="L437" s="54">
        <f>VLOOKUP(A437,'Precios oferta'!$A$30:$U$436,$B$5,FALSE)</f>
        <v>5693662.8480000002</v>
      </c>
      <c r="M437" s="48">
        <f>VLOOKUP(A437,'Precios piso'!$A$30:$U$436,$B$5,FALSE)</f>
        <v>90988.713600000003</v>
      </c>
      <c r="N437" s="105">
        <f t="shared" si="105"/>
        <v>0.98401930075084065</v>
      </c>
      <c r="O437" s="131">
        <f t="shared" si="109"/>
        <v>80070.067968000003</v>
      </c>
      <c r="P437" s="388">
        <f t="shared" si="108"/>
        <v>0.98593698466073976</v>
      </c>
      <c r="Q437" s="131">
        <f t="shared" si="99"/>
        <v>72790.970880000008</v>
      </c>
      <c r="R437" s="105">
        <f t="shared" si="100"/>
        <v>0.98721544060067257</v>
      </c>
      <c r="S437" s="131">
        <f t="shared" si="111"/>
        <v>68241.535199999998</v>
      </c>
      <c r="T437" s="94">
        <f t="shared" si="112"/>
        <v>0.98801447556313049</v>
      </c>
      <c r="V437" s="82"/>
      <c r="W437" s="504">
        <v>389</v>
      </c>
      <c r="X437" s="506" t="s">
        <v>1036</v>
      </c>
      <c r="Y437" s="508">
        <v>0</v>
      </c>
      <c r="Z437" s="403">
        <v>0</v>
      </c>
      <c r="AA437" s="407">
        <f t="shared" si="113"/>
        <v>0.98898064768194394</v>
      </c>
      <c r="AB437" s="411"/>
      <c r="AC437" s="446"/>
    </row>
    <row r="438" spans="1:29">
      <c r="A438" s="67">
        <v>386</v>
      </c>
      <c r="B438" s="74" t="s">
        <v>352</v>
      </c>
      <c r="C438" s="125" t="s">
        <v>366</v>
      </c>
      <c r="D438" s="387">
        <f t="shared" si="101"/>
        <v>0</v>
      </c>
      <c r="E438" s="104">
        <f t="shared" si="98"/>
        <v>4</v>
      </c>
      <c r="F438" s="83">
        <f t="shared" si="102"/>
        <v>69534.864000000001</v>
      </c>
      <c r="G438" s="83">
        <f t="shared" si="103"/>
        <v>0</v>
      </c>
      <c r="H438" s="483">
        <f t="shared" si="104"/>
        <v>0</v>
      </c>
      <c r="I438" s="83">
        <f>+'Costo adq'!C426*$I$1</f>
        <v>106564.39199999999</v>
      </c>
      <c r="J438" s="83">
        <f t="shared" si="107"/>
        <v>0</v>
      </c>
      <c r="L438" s="54">
        <f>VLOOKUP(A438,'Precios oferta'!$A$30:$U$436,$B$5,FALSE)</f>
        <v>279820.18239999999</v>
      </c>
      <c r="M438" s="48">
        <f>VLOOKUP(A438,'Precios piso'!$A$30:$U$436,$B$5,FALSE)</f>
        <v>92713.152000000002</v>
      </c>
      <c r="N438" s="105">
        <f t="shared" si="105"/>
        <v>0.66866881722109839</v>
      </c>
      <c r="O438" s="131">
        <f t="shared" si="109"/>
        <v>81587.573759999999</v>
      </c>
      <c r="P438" s="388">
        <f t="shared" si="108"/>
        <v>0.70842855915456648</v>
      </c>
      <c r="Q438" s="131">
        <f t="shared" si="99"/>
        <v>74170.521600000007</v>
      </c>
      <c r="R438" s="105">
        <f t="shared" si="100"/>
        <v>0.73493505377687862</v>
      </c>
      <c r="S438" s="131">
        <f t="shared" si="111"/>
        <v>69534.864000000001</v>
      </c>
      <c r="T438" s="94">
        <f t="shared" si="112"/>
        <v>0.75150161291582374</v>
      </c>
      <c r="V438" s="82"/>
      <c r="W438" s="504">
        <v>390</v>
      </c>
      <c r="X438" s="506" t="s">
        <v>1037</v>
      </c>
      <c r="Y438" s="508">
        <v>0</v>
      </c>
      <c r="Z438" s="403">
        <v>0</v>
      </c>
      <c r="AA438" s="407">
        <f t="shared" si="113"/>
        <v>0.69732393245689051</v>
      </c>
      <c r="AB438" s="411"/>
      <c r="AC438" s="446"/>
    </row>
    <row r="439" spans="1:29">
      <c r="A439" s="67">
        <v>387</v>
      </c>
      <c r="B439" s="74" t="s">
        <v>352</v>
      </c>
      <c r="C439" s="125" t="s">
        <v>365</v>
      </c>
      <c r="D439" s="387">
        <f t="shared" si="101"/>
        <v>0</v>
      </c>
      <c r="E439" s="104">
        <f t="shared" si="98"/>
        <v>4</v>
      </c>
      <c r="F439" s="83">
        <f t="shared" si="102"/>
        <v>74472.134399999995</v>
      </c>
      <c r="G439" s="83">
        <f t="shared" si="103"/>
        <v>0</v>
      </c>
      <c r="H439" s="483">
        <f t="shared" si="104"/>
        <v>0</v>
      </c>
      <c r="I439" s="83">
        <f>+'Costo adq'!C427*$I$1</f>
        <v>3836274.4</v>
      </c>
      <c r="J439" s="83">
        <f t="shared" si="107"/>
        <v>0</v>
      </c>
      <c r="K439" s="358">
        <f t="shared" si="110"/>
        <v>0</v>
      </c>
      <c r="L439" s="54">
        <f>VLOOKUP(A439,'Precios oferta'!$A$30:$U$436,$B$5,FALSE)</f>
        <v>6105259.4112</v>
      </c>
      <c r="M439" s="48">
        <f>VLOOKUP(A439,'Precios piso'!$A$30:$U$436,$B$5,FALSE)</f>
        <v>99296.179199999999</v>
      </c>
      <c r="N439" s="105">
        <f t="shared" si="105"/>
        <v>0.98373596066731539</v>
      </c>
      <c r="O439" s="131">
        <f t="shared" si="109"/>
        <v>87380.637696000005</v>
      </c>
      <c r="P439" s="388">
        <f t="shared" si="108"/>
        <v>0.98568764538723752</v>
      </c>
      <c r="Q439" s="131">
        <f t="shared" si="99"/>
        <v>79436.943360000005</v>
      </c>
      <c r="R439" s="105">
        <f t="shared" si="100"/>
        <v>0.98698876853385231</v>
      </c>
      <c r="S439" s="131">
        <f t="shared" si="111"/>
        <v>74472.134399999995</v>
      </c>
      <c r="T439" s="94">
        <f t="shared" si="112"/>
        <v>0.98780197050048646</v>
      </c>
      <c r="V439" s="82"/>
      <c r="W439" s="504">
        <v>391</v>
      </c>
      <c r="X439" s="506" t="s">
        <v>1038</v>
      </c>
      <c r="Y439" s="508">
        <v>0</v>
      </c>
      <c r="Z439" s="403">
        <v>0</v>
      </c>
      <c r="AA439" s="407">
        <f t="shared" si="113"/>
        <v>0.98741517092602238</v>
      </c>
      <c r="AB439" s="411"/>
      <c r="AC439" s="446"/>
    </row>
    <row r="440" spans="1:29">
      <c r="A440" s="67">
        <v>388</v>
      </c>
      <c r="B440" s="74" t="s">
        <v>353</v>
      </c>
      <c r="C440" s="125" t="s">
        <v>366</v>
      </c>
      <c r="D440" s="387">
        <f t="shared" si="101"/>
        <v>0</v>
      </c>
      <c r="E440" s="104">
        <f t="shared" si="98"/>
        <v>4</v>
      </c>
      <c r="F440" s="83">
        <f t="shared" si="102"/>
        <v>85991.612399999998</v>
      </c>
      <c r="G440" s="83">
        <f t="shared" si="103"/>
        <v>0</v>
      </c>
      <c r="H440" s="483">
        <f t="shared" si="104"/>
        <v>0</v>
      </c>
      <c r="I440" s="83">
        <f>+'Costo adq'!C428*$I$1</f>
        <v>169777.408</v>
      </c>
      <c r="J440" s="83">
        <f t="shared" si="107"/>
        <v>0</v>
      </c>
      <c r="L440" s="54">
        <f>VLOOKUP(A440,'Precios oferta'!$A$30:$U$436,$B$5,FALSE)</f>
        <v>261302.68640000001</v>
      </c>
      <c r="M440" s="48">
        <f>VLOOKUP(A440,'Precios piso'!$A$30:$U$436,$B$5,FALSE)</f>
        <v>114655.4832</v>
      </c>
      <c r="N440" s="105">
        <f t="shared" si="105"/>
        <v>0.56121582682664684</v>
      </c>
      <c r="O440" s="131">
        <f t="shared" si="109"/>
        <v>100896.825216</v>
      </c>
      <c r="P440" s="388">
        <f t="shared" si="108"/>
        <v>0.61386992760744929</v>
      </c>
      <c r="Q440" s="131">
        <f t="shared" si="99"/>
        <v>91724.386559999999</v>
      </c>
      <c r="R440" s="105">
        <f t="shared" si="100"/>
        <v>0.64897266146131749</v>
      </c>
      <c r="S440" s="131">
        <f t="shared" si="111"/>
        <v>85991.612399999998</v>
      </c>
      <c r="T440" s="94">
        <f t="shared" si="112"/>
        <v>0.6709118701199851</v>
      </c>
      <c r="V440" s="82"/>
      <c r="W440" s="504">
        <v>392</v>
      </c>
      <c r="X440" s="506" t="s">
        <v>1039</v>
      </c>
      <c r="Y440" s="508">
        <v>0</v>
      </c>
      <c r="Z440" s="403">
        <v>0</v>
      </c>
      <c r="AA440" s="407">
        <f t="shared" si="113"/>
        <v>0.84346374303473182</v>
      </c>
      <c r="AB440" s="411"/>
      <c r="AC440" s="446"/>
    </row>
    <row r="441" spans="1:29">
      <c r="A441" s="67">
        <v>389</v>
      </c>
      <c r="B441" s="74" t="s">
        <v>353</v>
      </c>
      <c r="C441" s="125" t="s">
        <v>365</v>
      </c>
      <c r="D441" s="387">
        <f t="shared" si="101"/>
        <v>0</v>
      </c>
      <c r="E441" s="104">
        <f t="shared" si="98"/>
        <v>4</v>
      </c>
      <c r="F441" s="83">
        <f t="shared" si="102"/>
        <v>85991.612399999998</v>
      </c>
      <c r="G441" s="83">
        <f t="shared" si="103"/>
        <v>0</v>
      </c>
      <c r="H441" s="483">
        <f t="shared" si="104"/>
        <v>0</v>
      </c>
      <c r="I441" s="83">
        <f>+'Costo adq'!C429*$I$1</f>
        <v>6112030.4000000004</v>
      </c>
      <c r="J441" s="83">
        <f t="shared" si="107"/>
        <v>0</v>
      </c>
      <c r="K441" s="358">
        <f t="shared" si="110"/>
        <v>0</v>
      </c>
      <c r="L441" s="54">
        <f>VLOOKUP(A441,'Precios oferta'!$A$30:$U$436,$B$5,FALSE)</f>
        <v>7803690.2640000004</v>
      </c>
      <c r="M441" s="48">
        <f>VLOOKUP(A441,'Precios piso'!$A$30:$U$436,$B$5,FALSE)</f>
        <v>114655.4832</v>
      </c>
      <c r="N441" s="105">
        <f t="shared" si="105"/>
        <v>0.98530753024259188</v>
      </c>
      <c r="O441" s="131">
        <f t="shared" si="109"/>
        <v>100896.825216</v>
      </c>
      <c r="P441" s="388">
        <f t="shared" si="108"/>
        <v>0.98707062661348088</v>
      </c>
      <c r="Q441" s="131">
        <f t="shared" si="99"/>
        <v>91724.386559999999</v>
      </c>
      <c r="R441" s="105">
        <f t="shared" si="100"/>
        <v>0.98824602419407348</v>
      </c>
      <c r="S441" s="131">
        <f t="shared" si="111"/>
        <v>85991.612399999998</v>
      </c>
      <c r="T441" s="94">
        <f t="shared" si="112"/>
        <v>0.98898064768194394</v>
      </c>
      <c r="V441" s="82"/>
      <c r="W441" s="504">
        <v>393</v>
      </c>
      <c r="X441" s="506" t="s">
        <v>1040</v>
      </c>
      <c r="Y441" s="508">
        <v>0</v>
      </c>
      <c r="Z441" s="403">
        <v>0</v>
      </c>
      <c r="AA441" s="407">
        <f t="shared" si="113"/>
        <v>0.9919960964416169</v>
      </c>
      <c r="AB441" s="411"/>
      <c r="AC441" s="446"/>
    </row>
    <row r="442" spans="1:29">
      <c r="A442" s="67">
        <v>390</v>
      </c>
      <c r="B442" s="74" t="s">
        <v>354</v>
      </c>
      <c r="C442" s="125" t="s">
        <v>366</v>
      </c>
      <c r="D442" s="387">
        <f t="shared" si="101"/>
        <v>0</v>
      </c>
      <c r="E442" s="104">
        <f t="shared" si="98"/>
        <v>4</v>
      </c>
      <c r="F442" s="83">
        <f t="shared" si="102"/>
        <v>66522.0144</v>
      </c>
      <c r="G442" s="83">
        <f t="shared" si="103"/>
        <v>0</v>
      </c>
      <c r="H442" s="483">
        <f t="shared" si="104"/>
        <v>0</v>
      </c>
      <c r="I442" s="83">
        <f>+'Costo adq'!C430*$I$1</f>
        <v>87817.407999999996</v>
      </c>
      <c r="J442" s="83">
        <f t="shared" si="107"/>
        <v>0</v>
      </c>
      <c r="L442" s="54">
        <f>VLOOKUP(A442,'Precios oferta'!$A$30:$U$436,$B$5,FALSE)</f>
        <v>219779.56479999999</v>
      </c>
      <c r="M442" s="48">
        <f>VLOOKUP(A442,'Precios piso'!$A$30:$U$436,$B$5,FALSE)</f>
        <v>88696.019199999995</v>
      </c>
      <c r="N442" s="105">
        <f t="shared" si="105"/>
        <v>0.59643190994252082</v>
      </c>
      <c r="O442" s="131">
        <f t="shared" si="109"/>
        <v>78052.496895999997</v>
      </c>
      <c r="P442" s="388">
        <f t="shared" si="108"/>
        <v>0.64486008074941825</v>
      </c>
      <c r="Q442" s="131">
        <f t="shared" si="99"/>
        <v>70956.815359999993</v>
      </c>
      <c r="R442" s="105">
        <f t="shared" si="100"/>
        <v>0.67714552795401661</v>
      </c>
      <c r="S442" s="131">
        <f t="shared" si="111"/>
        <v>66522.0144</v>
      </c>
      <c r="T442" s="94">
        <f t="shared" si="112"/>
        <v>0.69732393245689051</v>
      </c>
      <c r="V442" s="82"/>
      <c r="W442" s="504">
        <v>394</v>
      </c>
      <c r="X442" s="506" t="s">
        <v>1041</v>
      </c>
      <c r="Y442" s="508">
        <v>0</v>
      </c>
      <c r="Z442" s="403">
        <v>0</v>
      </c>
      <c r="AA442" s="407">
        <f t="shared" si="113"/>
        <v>0.84593665573985599</v>
      </c>
      <c r="AB442" s="411"/>
      <c r="AC442" s="446"/>
    </row>
    <row r="443" spans="1:29">
      <c r="A443" s="67">
        <v>391</v>
      </c>
      <c r="B443" s="74" t="s">
        <v>354</v>
      </c>
      <c r="C443" s="125" t="s">
        <v>365</v>
      </c>
      <c r="D443" s="387">
        <f t="shared" si="101"/>
        <v>0</v>
      </c>
      <c r="E443" s="104">
        <f t="shared" si="98"/>
        <v>4</v>
      </c>
      <c r="F443" s="83">
        <f t="shared" si="102"/>
        <v>73109.139599999995</v>
      </c>
      <c r="G443" s="83">
        <f t="shared" si="103"/>
        <v>0</v>
      </c>
      <c r="H443" s="483">
        <f t="shared" si="104"/>
        <v>0</v>
      </c>
      <c r="I443" s="83">
        <f>+'Costo adq'!C431*$I$1</f>
        <v>3161448.5439999998</v>
      </c>
      <c r="J443" s="83">
        <f t="shared" si="107"/>
        <v>0</v>
      </c>
      <c r="K443" s="358">
        <f t="shared" si="110"/>
        <v>0</v>
      </c>
      <c r="L443" s="54">
        <f>VLOOKUP(A443,'Precios oferta'!$A$30:$U$436,$B$5,FALSE)</f>
        <v>5809307.3152000001</v>
      </c>
      <c r="M443" s="48">
        <f>VLOOKUP(A443,'Precios piso'!$A$30:$U$436,$B$5,FALSE)</f>
        <v>97478.852799999993</v>
      </c>
      <c r="N443" s="105">
        <f t="shared" si="105"/>
        <v>0.9832202279013631</v>
      </c>
      <c r="O443" s="131">
        <f t="shared" si="109"/>
        <v>85781.390463999996</v>
      </c>
      <c r="P443" s="388">
        <f t="shared" si="108"/>
        <v>0.98523380055319953</v>
      </c>
      <c r="Q443" s="131">
        <f t="shared" si="99"/>
        <v>77983.082239999989</v>
      </c>
      <c r="R443" s="105">
        <f t="shared" si="100"/>
        <v>0.98657618232109046</v>
      </c>
      <c r="S443" s="131">
        <f t="shared" si="111"/>
        <v>73109.139599999995</v>
      </c>
      <c r="T443" s="94">
        <f t="shared" si="112"/>
        <v>0.98741517092602238</v>
      </c>
      <c r="V443" s="82"/>
      <c r="W443" s="504">
        <v>395</v>
      </c>
      <c r="X443" s="506" t="s">
        <v>1042</v>
      </c>
      <c r="Y443" s="508">
        <v>0</v>
      </c>
      <c r="Z443" s="403">
        <v>0</v>
      </c>
      <c r="AA443" s="407">
        <f t="shared" si="113"/>
        <v>0.9916076091010817</v>
      </c>
      <c r="AB443" s="411"/>
      <c r="AC443" s="446"/>
    </row>
    <row r="444" spans="1:29">
      <c r="A444" s="67">
        <v>392</v>
      </c>
      <c r="B444" s="74" t="s">
        <v>355</v>
      </c>
      <c r="C444" s="125" t="s">
        <v>366</v>
      </c>
      <c r="D444" s="387">
        <f t="shared" si="101"/>
        <v>0</v>
      </c>
      <c r="E444" s="104">
        <f t="shared" si="98"/>
        <v>4</v>
      </c>
      <c r="F444" s="83">
        <f t="shared" si="102"/>
        <v>72849.326400000005</v>
      </c>
      <c r="G444" s="83">
        <f t="shared" si="103"/>
        <v>0</v>
      </c>
      <c r="H444" s="483">
        <f t="shared" si="104"/>
        <v>0</v>
      </c>
      <c r="I444" s="83">
        <f>+'Costo adq'!C432*$I$1</f>
        <v>115596.38400000001</v>
      </c>
      <c r="J444" s="83">
        <f t="shared" si="107"/>
        <v>0</v>
      </c>
      <c r="L444" s="54">
        <f>VLOOKUP(A444,'Precios oferta'!$A$30:$U$436,$B$5,FALSE)</f>
        <v>465383.08640000003</v>
      </c>
      <c r="M444" s="48">
        <f>VLOOKUP(A444,'Precios piso'!$A$30:$U$436,$B$5,FALSE)</f>
        <v>97132.435200000007</v>
      </c>
      <c r="N444" s="105">
        <f t="shared" si="105"/>
        <v>0.79128499071297576</v>
      </c>
      <c r="O444" s="131">
        <f t="shared" si="109"/>
        <v>85476.542976000012</v>
      </c>
      <c r="P444" s="388">
        <f t="shared" si="108"/>
        <v>0.81633079182741863</v>
      </c>
      <c r="Q444" s="131">
        <f t="shared" si="99"/>
        <v>77705.94816</v>
      </c>
      <c r="R444" s="105">
        <f t="shared" si="100"/>
        <v>0.83302799257038063</v>
      </c>
      <c r="S444" s="131">
        <f t="shared" si="111"/>
        <v>72849.326400000005</v>
      </c>
      <c r="T444" s="94">
        <f t="shared" si="112"/>
        <v>0.84346374303473182</v>
      </c>
      <c r="V444" s="82"/>
      <c r="W444" s="504">
        <v>396</v>
      </c>
      <c r="X444" s="506" t="s">
        <v>1043</v>
      </c>
      <c r="Y444" s="508">
        <v>0</v>
      </c>
      <c r="Z444" s="403">
        <v>0</v>
      </c>
      <c r="AA444" s="407">
        <f t="shared" si="113"/>
        <v>0.81199730866794528</v>
      </c>
      <c r="AB444" s="411"/>
      <c r="AC444" s="446"/>
    </row>
    <row r="445" spans="1:29">
      <c r="A445" s="67">
        <v>393</v>
      </c>
      <c r="B445" s="74" t="s">
        <v>355</v>
      </c>
      <c r="C445" s="125" t="s">
        <v>365</v>
      </c>
      <c r="D445" s="387">
        <f t="shared" si="101"/>
        <v>0</v>
      </c>
      <c r="E445" s="104">
        <f t="shared" si="98"/>
        <v>4</v>
      </c>
      <c r="F445" s="83">
        <f t="shared" si="102"/>
        <v>72849.326400000005</v>
      </c>
      <c r="G445" s="83">
        <f t="shared" si="103"/>
        <v>0</v>
      </c>
      <c r="H445" s="483">
        <f t="shared" si="104"/>
        <v>0</v>
      </c>
      <c r="I445" s="83">
        <f>+'Costo adq'!C433*$I$1</f>
        <v>4161382.3999999999</v>
      </c>
      <c r="J445" s="83">
        <f t="shared" si="107"/>
        <v>0</v>
      </c>
      <c r="K445" s="358">
        <f t="shared" si="110"/>
        <v>0</v>
      </c>
      <c r="L445" s="54">
        <f>VLOOKUP(A445,'Precios oferta'!$A$30:$U$436,$B$5,FALSE)</f>
        <v>9101724.6608000007</v>
      </c>
      <c r="M445" s="48">
        <f>VLOOKUP(A445,'Precios piso'!$A$30:$U$436,$B$5,FALSE)</f>
        <v>97132.435200000007</v>
      </c>
      <c r="N445" s="105">
        <f t="shared" si="105"/>
        <v>0.98932812858882258</v>
      </c>
      <c r="O445" s="131">
        <f t="shared" si="109"/>
        <v>85476.542976000012</v>
      </c>
      <c r="P445" s="388">
        <f t="shared" si="108"/>
        <v>0.99060875315816388</v>
      </c>
      <c r="Q445" s="131">
        <f t="shared" si="99"/>
        <v>77705.94816</v>
      </c>
      <c r="R445" s="105">
        <f t="shared" si="100"/>
        <v>0.99146250287105808</v>
      </c>
      <c r="S445" s="131">
        <f t="shared" si="111"/>
        <v>72849.326400000005</v>
      </c>
      <c r="T445" s="94">
        <f t="shared" si="112"/>
        <v>0.9919960964416169</v>
      </c>
      <c r="V445" s="82"/>
      <c r="W445" s="504">
        <v>397</v>
      </c>
      <c r="X445" s="506" t="s">
        <v>1044</v>
      </c>
      <c r="Y445" s="508">
        <v>0</v>
      </c>
      <c r="Z445" s="403">
        <v>0</v>
      </c>
      <c r="AA445" s="407">
        <f t="shared" si="113"/>
        <v>0.9889211594970807</v>
      </c>
      <c r="AB445" s="411"/>
      <c r="AC445" s="446"/>
    </row>
    <row r="446" spans="1:29">
      <c r="A446" s="67">
        <v>394</v>
      </c>
      <c r="B446" s="74" t="s">
        <v>356</v>
      </c>
      <c r="C446" s="125" t="s">
        <v>366</v>
      </c>
      <c r="D446" s="387">
        <f t="shared" si="101"/>
        <v>0</v>
      </c>
      <c r="E446" s="104">
        <f t="shared" si="98"/>
        <v>4</v>
      </c>
      <c r="F446" s="83">
        <f t="shared" si="102"/>
        <v>71852.692800000004</v>
      </c>
      <c r="G446" s="83">
        <f t="shared" si="103"/>
        <v>0</v>
      </c>
      <c r="H446" s="483">
        <f t="shared" si="104"/>
        <v>0</v>
      </c>
      <c r="I446" s="83">
        <f>+'Costo adq'!C434*$I$1</f>
        <v>48760.735999999997</v>
      </c>
      <c r="J446" s="83">
        <f t="shared" si="107"/>
        <v>0</v>
      </c>
      <c r="L446" s="54">
        <f>VLOOKUP(A446,'Precios oferta'!$A$30:$U$436,$B$5,FALSE)</f>
        <v>466384.09120000002</v>
      </c>
      <c r="M446" s="48">
        <f>VLOOKUP(A446,'Precios piso'!$A$30:$U$436,$B$5,FALSE)</f>
        <v>95803.590400000001</v>
      </c>
      <c r="N446" s="105">
        <f t="shared" si="105"/>
        <v>0.79458220765314136</v>
      </c>
      <c r="O446" s="131">
        <f t="shared" si="109"/>
        <v>84307.159551999997</v>
      </c>
      <c r="P446" s="388">
        <f t="shared" si="108"/>
        <v>0.81923234273476442</v>
      </c>
      <c r="Q446" s="131">
        <f t="shared" si="99"/>
        <v>76642.872319999995</v>
      </c>
      <c r="R446" s="105">
        <f t="shared" si="100"/>
        <v>0.83566576612251309</v>
      </c>
      <c r="S446" s="131">
        <f t="shared" si="111"/>
        <v>71852.692800000004</v>
      </c>
      <c r="T446" s="94">
        <f t="shared" si="112"/>
        <v>0.84593665573985599</v>
      </c>
      <c r="V446" s="82"/>
      <c r="W446" s="504">
        <v>398</v>
      </c>
      <c r="X446" s="506" t="s">
        <v>1045</v>
      </c>
      <c r="Y446" s="508">
        <v>0</v>
      </c>
      <c r="Z446" s="403">
        <v>0</v>
      </c>
      <c r="AA446" s="407">
        <f t="shared" si="113"/>
        <v>0.93098444582124107</v>
      </c>
      <c r="AB446" s="411"/>
      <c r="AC446" s="446"/>
    </row>
    <row r="447" spans="1:29">
      <c r="A447" s="67">
        <v>395</v>
      </c>
      <c r="B447" s="74" t="s">
        <v>356</v>
      </c>
      <c r="C447" s="125" t="s">
        <v>365</v>
      </c>
      <c r="D447" s="387">
        <f t="shared" si="101"/>
        <v>0</v>
      </c>
      <c r="E447" s="104">
        <f t="shared" si="98"/>
        <v>4</v>
      </c>
      <c r="F447" s="83">
        <f t="shared" si="102"/>
        <v>84336.84</v>
      </c>
      <c r="G447" s="83">
        <f t="shared" si="103"/>
        <v>0</v>
      </c>
      <c r="H447" s="483">
        <f t="shared" si="104"/>
        <v>0</v>
      </c>
      <c r="I447" s="83">
        <f>+'Costo adq'!C435*$I$1</f>
        <v>1755452.064</v>
      </c>
      <c r="J447" s="83">
        <f t="shared" si="107"/>
        <v>0</v>
      </c>
      <c r="K447" s="358">
        <f t="shared" si="110"/>
        <v>0</v>
      </c>
      <c r="L447" s="54">
        <f>VLOOKUP(A447,'Precios oferta'!$A$30:$U$436,$B$5,FALSE)</f>
        <v>10049203.024</v>
      </c>
      <c r="M447" s="48">
        <f>VLOOKUP(A447,'Precios piso'!$A$30:$U$436,$B$5,FALSE)</f>
        <v>112449.12</v>
      </c>
      <c r="N447" s="105">
        <f t="shared" si="105"/>
        <v>0.98881014546810897</v>
      </c>
      <c r="O447" s="131">
        <f t="shared" si="109"/>
        <v>98955.225599999991</v>
      </c>
      <c r="P447" s="388">
        <f t="shared" si="108"/>
        <v>0.99015292801193588</v>
      </c>
      <c r="Q447" s="131">
        <f t="shared" si="99"/>
        <v>89959.296000000002</v>
      </c>
      <c r="R447" s="105">
        <f t="shared" si="100"/>
        <v>0.99104811637448709</v>
      </c>
      <c r="S447" s="131">
        <f t="shared" si="111"/>
        <v>84336.84</v>
      </c>
      <c r="T447" s="94">
        <f t="shared" si="112"/>
        <v>0.9916076091010817</v>
      </c>
      <c r="V447" s="82"/>
      <c r="W447" s="504">
        <v>399</v>
      </c>
      <c r="X447" s="506" t="s">
        <v>1046</v>
      </c>
      <c r="Y447" s="508">
        <v>0</v>
      </c>
      <c r="Z447" s="403">
        <v>0</v>
      </c>
      <c r="AA447" s="407">
        <f t="shared" si="113"/>
        <v>0.9984715267894726</v>
      </c>
      <c r="AB447" s="411"/>
      <c r="AC447" s="446"/>
    </row>
    <row r="448" spans="1:29">
      <c r="A448" s="67">
        <v>396</v>
      </c>
      <c r="B448" s="74" t="s">
        <v>357</v>
      </c>
      <c r="C448" s="125" t="s">
        <v>366</v>
      </c>
      <c r="D448" s="387">
        <f t="shared" si="101"/>
        <v>0</v>
      </c>
      <c r="E448" s="104">
        <f t="shared" si="98"/>
        <v>4</v>
      </c>
      <c r="F448" s="83">
        <f t="shared" si="102"/>
        <v>39848.132400000002</v>
      </c>
      <c r="G448" s="83">
        <f t="shared" si="103"/>
        <v>0</v>
      </c>
      <c r="H448" s="483">
        <f t="shared" si="104"/>
        <v>0</v>
      </c>
      <c r="I448" s="83">
        <f>+'Costo adq'!C436*$I$1</f>
        <v>40335.248</v>
      </c>
      <c r="J448" s="83">
        <f t="shared" si="107"/>
        <v>0</v>
      </c>
      <c r="L448" s="54">
        <f>VLOOKUP(A448,'Precios oferta'!$A$30:$U$436,$B$5,FALSE)</f>
        <v>211955.11679999999</v>
      </c>
      <c r="M448" s="48">
        <f>VLOOKUP(A448,'Precios piso'!$A$30:$U$436,$B$5,FALSE)</f>
        <v>53130.843200000003</v>
      </c>
      <c r="N448" s="105">
        <f t="shared" si="105"/>
        <v>0.74932974489059379</v>
      </c>
      <c r="O448" s="131">
        <f t="shared" si="109"/>
        <v>46755.142016000005</v>
      </c>
      <c r="P448" s="388">
        <f t="shared" si="108"/>
        <v>0.77941017550372249</v>
      </c>
      <c r="Q448" s="131">
        <f t="shared" si="99"/>
        <v>42504.674559999999</v>
      </c>
      <c r="R448" s="105">
        <f t="shared" si="100"/>
        <v>0.79946379591247496</v>
      </c>
      <c r="S448" s="131">
        <f t="shared" si="111"/>
        <v>39848.132400000002</v>
      </c>
      <c r="T448" s="94">
        <f t="shared" si="112"/>
        <v>0.81199730866794528</v>
      </c>
      <c r="V448" s="82"/>
      <c r="W448" s="504">
        <v>400</v>
      </c>
      <c r="X448" s="506" t="s">
        <v>1047</v>
      </c>
      <c r="Y448" s="508">
        <v>0</v>
      </c>
      <c r="Z448" s="403">
        <v>0</v>
      </c>
      <c r="AA448" s="407">
        <f t="shared" si="113"/>
        <v>0.99803875371159467</v>
      </c>
      <c r="AB448" s="411"/>
      <c r="AC448" s="446"/>
    </row>
    <row r="449" spans="1:29">
      <c r="A449" s="67">
        <v>397</v>
      </c>
      <c r="B449" s="74" t="s">
        <v>357</v>
      </c>
      <c r="C449" s="125" t="s">
        <v>365</v>
      </c>
      <c r="D449" s="387">
        <f t="shared" si="101"/>
        <v>0</v>
      </c>
      <c r="E449" s="104">
        <f t="shared" si="98"/>
        <v>4</v>
      </c>
      <c r="F449" s="83">
        <f t="shared" si="102"/>
        <v>47892.506399999998</v>
      </c>
      <c r="G449" s="83">
        <f t="shared" si="103"/>
        <v>0</v>
      </c>
      <c r="H449" s="483">
        <f t="shared" si="104"/>
        <v>0</v>
      </c>
      <c r="I449" s="83">
        <f>+'Costo adq'!C437*$I$1</f>
        <v>1452112.64</v>
      </c>
      <c r="J449" s="83">
        <f t="shared" si="107"/>
        <v>0</v>
      </c>
      <c r="K449" s="358">
        <f t="shared" si="110"/>
        <v>0</v>
      </c>
      <c r="L449" s="54">
        <f>VLOOKUP(A449,'Precios oferta'!$A$30:$U$436,$B$5,FALSE)</f>
        <v>4322880.7551999995</v>
      </c>
      <c r="M449" s="48">
        <f>VLOOKUP(A449,'Precios piso'!$A$30:$U$436,$B$5,FALSE)</f>
        <v>63856.675199999998</v>
      </c>
      <c r="N449" s="105">
        <f t="shared" si="105"/>
        <v>0.98522821266277427</v>
      </c>
      <c r="O449" s="131">
        <f t="shared" si="109"/>
        <v>56193.874175999998</v>
      </c>
      <c r="P449" s="388">
        <f t="shared" si="108"/>
        <v>0.98700082714324144</v>
      </c>
      <c r="Q449" s="131">
        <f t="shared" si="99"/>
        <v>51085.34016</v>
      </c>
      <c r="R449" s="105">
        <f t="shared" si="100"/>
        <v>0.98818257013021948</v>
      </c>
      <c r="S449" s="131">
        <f t="shared" si="111"/>
        <v>47892.506399999998</v>
      </c>
      <c r="T449" s="94">
        <f t="shared" si="112"/>
        <v>0.9889211594970807</v>
      </c>
      <c r="V449" s="82"/>
      <c r="W449" s="504">
        <v>401</v>
      </c>
      <c r="X449" s="506" t="s">
        <v>1051</v>
      </c>
      <c r="Y449" s="508">
        <v>0</v>
      </c>
      <c r="Z449" s="403">
        <v>0</v>
      </c>
      <c r="AA449" s="407">
        <f t="shared" si="113"/>
        <v>0.99110548531262832</v>
      </c>
      <c r="AB449" s="411"/>
      <c r="AC449" s="446"/>
    </row>
    <row r="450" spans="1:29">
      <c r="A450" s="67">
        <v>398</v>
      </c>
      <c r="B450" s="74" t="s">
        <v>358</v>
      </c>
      <c r="C450" s="125" t="s">
        <v>366</v>
      </c>
      <c r="D450" s="387">
        <f t="shared" si="101"/>
        <v>0</v>
      </c>
      <c r="E450" s="104">
        <f t="shared" ref="E450:E459" si="114">$B$6</f>
        <v>4</v>
      </c>
      <c r="F450" s="83">
        <f t="shared" si="102"/>
        <v>2312.9112</v>
      </c>
      <c r="G450" s="83">
        <f t="shared" si="103"/>
        <v>0</v>
      </c>
      <c r="H450" s="483">
        <f t="shared" si="104"/>
        <v>0</v>
      </c>
      <c r="I450" s="83">
        <f>+'Costo adq'!C438*$I$1</f>
        <v>852.38400000000001</v>
      </c>
      <c r="J450" s="83">
        <f t="shared" si="107"/>
        <v>0</v>
      </c>
      <c r="L450" s="54">
        <f>VLOOKUP(A450,'Precios oferta'!$A$30:$U$436,$B$5,FALSE)</f>
        <v>33512.897599999997</v>
      </c>
      <c r="M450" s="48">
        <f>VLOOKUP(A450,'Precios piso'!$A$30:$U$436,$B$5,FALSE)</f>
        <v>3083.8816000000002</v>
      </c>
      <c r="N450" s="105">
        <f t="shared" si="105"/>
        <v>0.90797926109498805</v>
      </c>
      <c r="O450" s="131">
        <f t="shared" si="109"/>
        <v>2713.8158080000003</v>
      </c>
      <c r="P450" s="388">
        <f t="shared" si="108"/>
        <v>0.91902174976358952</v>
      </c>
      <c r="Q450" s="131">
        <f t="shared" ref="Q450:Q459" si="115">+M450-(M450*20%)</f>
        <v>2467.1052800000002</v>
      </c>
      <c r="R450" s="105">
        <f t="shared" ref="R450:R459" si="116">1-(Q450/L450)</f>
        <v>0.92638340887599047</v>
      </c>
      <c r="S450" s="131">
        <f t="shared" si="111"/>
        <v>2312.9112</v>
      </c>
      <c r="T450" s="94">
        <f t="shared" si="112"/>
        <v>0.93098444582124107</v>
      </c>
      <c r="V450" s="82"/>
      <c r="W450" s="504">
        <v>402</v>
      </c>
      <c r="X450" s="506" t="s">
        <v>1052</v>
      </c>
      <c r="Y450" s="508">
        <v>0</v>
      </c>
      <c r="Z450" s="403">
        <v>0</v>
      </c>
      <c r="AA450" s="407">
        <f t="shared" si="113"/>
        <v>0.82730504830154339</v>
      </c>
      <c r="AB450" s="411"/>
      <c r="AC450" s="446"/>
    </row>
    <row r="451" spans="1:29">
      <c r="A451" s="67">
        <v>399</v>
      </c>
      <c r="B451" s="74" t="s">
        <v>358</v>
      </c>
      <c r="C451" s="125" t="s">
        <v>365</v>
      </c>
      <c r="D451" s="387">
        <f t="shared" si="101"/>
        <v>0</v>
      </c>
      <c r="E451" s="104">
        <f t="shared" si="114"/>
        <v>4</v>
      </c>
      <c r="F451" s="83">
        <f t="shared" si="102"/>
        <v>10416.296399999999</v>
      </c>
      <c r="G451" s="83">
        <f t="shared" si="103"/>
        <v>0</v>
      </c>
      <c r="H451" s="483">
        <f t="shared" si="104"/>
        <v>0</v>
      </c>
      <c r="I451" s="83">
        <f>+'Costo adq'!C439*$I$1</f>
        <v>30489.119999999999</v>
      </c>
      <c r="J451" s="83">
        <f t="shared" si="107"/>
        <v>0</v>
      </c>
      <c r="K451" s="358">
        <f t="shared" si="110"/>
        <v>0</v>
      </c>
      <c r="L451" s="54">
        <f>VLOOKUP(A451,'Precios oferta'!$A$30:$U$436,$B$5,FALSE)</f>
        <v>6814837.4000000004</v>
      </c>
      <c r="M451" s="48">
        <f>VLOOKUP(A451,'Precios piso'!$A$30:$U$436,$B$5,FALSE)</f>
        <v>13888.395199999999</v>
      </c>
      <c r="N451" s="105">
        <f t="shared" si="105"/>
        <v>0.99796203571929687</v>
      </c>
      <c r="O451" s="131">
        <f t="shared" si="109"/>
        <v>12221.787775999999</v>
      </c>
      <c r="P451" s="388">
        <f t="shared" si="108"/>
        <v>0.99820659143298118</v>
      </c>
      <c r="Q451" s="131">
        <f t="shared" si="115"/>
        <v>11110.71616</v>
      </c>
      <c r="R451" s="105">
        <f t="shared" si="116"/>
        <v>0.99836962857543743</v>
      </c>
      <c r="S451" s="131">
        <f t="shared" si="111"/>
        <v>10416.296399999999</v>
      </c>
      <c r="T451" s="94">
        <f t="shared" si="112"/>
        <v>0.9984715267894726</v>
      </c>
      <c r="V451" s="82"/>
      <c r="W451" s="504">
        <v>403</v>
      </c>
      <c r="X451" s="506" t="s">
        <v>1053</v>
      </c>
      <c r="Y451" s="508">
        <v>0</v>
      </c>
      <c r="Z451" s="403">
        <v>0</v>
      </c>
      <c r="AA451" s="407">
        <f t="shared" si="113"/>
        <v>0.98727042598042902</v>
      </c>
      <c r="AB451" s="411"/>
      <c r="AC451" s="446"/>
    </row>
    <row r="452" spans="1:29">
      <c r="A452" s="67">
        <v>400</v>
      </c>
      <c r="B452" s="74" t="s">
        <v>359</v>
      </c>
      <c r="C452" s="125" t="s">
        <v>365</v>
      </c>
      <c r="D452" s="387">
        <f t="shared" ref="D452:D459" si="117">VLOOKUP(A452,$W$49:$Y$455,3,FALSE)</f>
        <v>0</v>
      </c>
      <c r="E452" s="104">
        <f t="shared" si="114"/>
        <v>4</v>
      </c>
      <c r="F452" s="83">
        <f t="shared" ref="F452:F459" si="118">IF($K$478=$L$48,L452,IF($K$478=$M$48,M452,IF($K$478=$O$48,O452,IF($K$478=$Q$48,Q452,IF($K$478=$S$48,S452,"ERROR")))))</f>
        <v>3079.2371999999996</v>
      </c>
      <c r="G452" s="83">
        <f t="shared" ref="G452:G459" si="119">F452*E452*D452</f>
        <v>0</v>
      </c>
      <c r="H452" s="483">
        <f t="shared" ref="H452:H459" si="120">+F452-S452</f>
        <v>0</v>
      </c>
      <c r="I452" s="83">
        <f>+'Costo adq'!C440*$I$1</f>
        <v>66551.520000000004</v>
      </c>
      <c r="J452" s="83">
        <f t="shared" si="107"/>
        <v>0</v>
      </c>
      <c r="K452" s="358">
        <f t="shared" si="110"/>
        <v>0</v>
      </c>
      <c r="L452" s="54">
        <f>VLOOKUP(A452,'Precios oferta'!$A$30:$U$436,$B$5,FALSE)</f>
        <v>1570041.0592</v>
      </c>
      <c r="M452" s="48">
        <f>VLOOKUP(A452,'Precios piso'!$A$30:$U$436,$B$5,FALSE)</f>
        <v>4105.6495999999997</v>
      </c>
      <c r="N452" s="105">
        <f t="shared" ref="N452:N459" si="121">1-(M452/L452)</f>
        <v>0.9973850049487929</v>
      </c>
      <c r="O452" s="131">
        <f t="shared" ref="O452:O459" si="122">+M452-(M452*$N$481)</f>
        <v>3612.9716479999997</v>
      </c>
      <c r="P452" s="388">
        <f t="shared" si="108"/>
        <v>0.99769880435493774</v>
      </c>
      <c r="Q452" s="131">
        <f t="shared" si="115"/>
        <v>3284.5196799999999</v>
      </c>
      <c r="R452" s="105">
        <f t="shared" si="116"/>
        <v>0.99790800395903434</v>
      </c>
      <c r="S452" s="131">
        <f t="shared" si="111"/>
        <v>3079.2371999999996</v>
      </c>
      <c r="T452" s="94">
        <f t="shared" si="112"/>
        <v>0.99803875371159467</v>
      </c>
      <c r="V452" s="82"/>
      <c r="W452" s="504">
        <v>404</v>
      </c>
      <c r="X452" s="506" t="s">
        <v>1054</v>
      </c>
      <c r="Y452" s="508">
        <v>3</v>
      </c>
      <c r="Z452" s="403">
        <v>0</v>
      </c>
      <c r="AA452" s="407">
        <f t="shared" si="113"/>
        <v>0.83176343201865965</v>
      </c>
      <c r="AB452" s="411"/>
      <c r="AC452" s="446"/>
    </row>
    <row r="453" spans="1:29">
      <c r="A453" s="67">
        <v>401</v>
      </c>
      <c r="B453" s="74" t="s">
        <v>360</v>
      </c>
      <c r="C453" s="125" t="s">
        <v>365</v>
      </c>
      <c r="D453" s="387">
        <f t="shared" si="117"/>
        <v>0</v>
      </c>
      <c r="E453" s="104">
        <f t="shared" si="114"/>
        <v>4</v>
      </c>
      <c r="F453" s="83">
        <f t="shared" si="118"/>
        <v>62108.468400000005</v>
      </c>
      <c r="G453" s="83">
        <f t="shared" si="119"/>
        <v>0</v>
      </c>
      <c r="H453" s="483">
        <f t="shared" si="120"/>
        <v>0</v>
      </c>
      <c r="I453" s="83">
        <f>+'Costo adq'!C441*$I$1</f>
        <v>7519447.5199999996</v>
      </c>
      <c r="J453" s="83">
        <f t="shared" ref="J453:J459" si="123">I453*E453*D453</f>
        <v>0</v>
      </c>
      <c r="K453" s="358">
        <f t="shared" si="110"/>
        <v>0</v>
      </c>
      <c r="L453" s="54">
        <f>VLOOKUP(A453,'Precios oferta'!$A$30:$U$436,$B$5,FALSE)</f>
        <v>6982783.2752</v>
      </c>
      <c r="M453" s="48">
        <f>VLOOKUP(A453,'Precios piso'!$A$30:$U$436,$B$5,FALSE)</f>
        <v>82811.291200000007</v>
      </c>
      <c r="N453" s="105">
        <f t="shared" si="121"/>
        <v>0.98814064708350435</v>
      </c>
      <c r="O453" s="131">
        <f t="shared" si="122"/>
        <v>72873.936256000001</v>
      </c>
      <c r="P453" s="388">
        <f t="shared" ref="P453:P459" si="124">1-(O453/L453)</f>
        <v>0.9895637694334839</v>
      </c>
      <c r="Q453" s="131">
        <f t="shared" si="115"/>
        <v>66249.032960000011</v>
      </c>
      <c r="R453" s="105">
        <f t="shared" si="116"/>
        <v>0.99051251766680348</v>
      </c>
      <c r="S453" s="131">
        <f t="shared" si="111"/>
        <v>62108.468400000005</v>
      </c>
      <c r="T453" s="94">
        <f t="shared" si="112"/>
        <v>0.99110548531262832</v>
      </c>
      <c r="V453" s="82"/>
      <c r="W453" s="504">
        <v>405</v>
      </c>
      <c r="X453" s="506" t="s">
        <v>1055</v>
      </c>
      <c r="Y453" s="508">
        <v>0</v>
      </c>
      <c r="Z453" s="403">
        <v>0</v>
      </c>
      <c r="AA453" s="407">
        <f t="shared" si="113"/>
        <v>0.98767409936368145</v>
      </c>
      <c r="AB453" s="411"/>
      <c r="AC453" s="446"/>
    </row>
    <row r="454" spans="1:29">
      <c r="A454" s="67">
        <v>402</v>
      </c>
      <c r="B454" s="74" t="s">
        <v>361</v>
      </c>
      <c r="C454" s="125" t="s">
        <v>366</v>
      </c>
      <c r="D454" s="387">
        <f t="shared" si="117"/>
        <v>0</v>
      </c>
      <c r="E454" s="104">
        <f t="shared" si="114"/>
        <v>4</v>
      </c>
      <c r="F454" s="83">
        <f t="shared" si="118"/>
        <v>54328.825200000007</v>
      </c>
      <c r="G454" s="83">
        <f t="shared" si="119"/>
        <v>0</v>
      </c>
      <c r="H454" s="483">
        <f t="shared" si="120"/>
        <v>0</v>
      </c>
      <c r="I454" s="83">
        <f>+'Costo adq'!C442*$I$1</f>
        <v>91084.88</v>
      </c>
      <c r="J454" s="83">
        <f t="shared" si="123"/>
        <v>0</v>
      </c>
      <c r="L454" s="54">
        <f>VLOOKUP(A454,'Precios oferta'!$A$30:$U$436,$B$5,FALSE)</f>
        <v>314594.17119999998</v>
      </c>
      <c r="M454" s="48">
        <f>VLOOKUP(A454,'Precios piso'!$A$30:$U$436,$B$5,FALSE)</f>
        <v>72438.433600000004</v>
      </c>
      <c r="N454" s="105">
        <f t="shared" si="121"/>
        <v>0.76974006440205778</v>
      </c>
      <c r="O454" s="131">
        <f t="shared" si="122"/>
        <v>63745.821567999999</v>
      </c>
      <c r="P454" s="388">
        <f t="shared" si="124"/>
        <v>0.79737125667381092</v>
      </c>
      <c r="Q454" s="131">
        <f t="shared" si="115"/>
        <v>57950.746880000006</v>
      </c>
      <c r="R454" s="105">
        <f t="shared" si="116"/>
        <v>0.81579205152164624</v>
      </c>
      <c r="S454" s="131">
        <f t="shared" si="111"/>
        <v>54328.825200000007</v>
      </c>
      <c r="T454" s="94">
        <f t="shared" si="112"/>
        <v>0.82730504830154339</v>
      </c>
      <c r="V454" s="82"/>
      <c r="W454" s="504">
        <v>406</v>
      </c>
      <c r="X454" s="506" t="s">
        <v>1056</v>
      </c>
      <c r="Y454" s="508">
        <v>0</v>
      </c>
      <c r="Z454" s="403">
        <v>0</v>
      </c>
      <c r="AA454" s="407">
        <f t="shared" si="113"/>
        <v>0.78630836677900684</v>
      </c>
      <c r="AB454" s="411"/>
      <c r="AC454" s="446"/>
    </row>
    <row r="455" spans="1:29" ht="14.25" thickBot="1">
      <c r="A455" s="67">
        <v>403</v>
      </c>
      <c r="B455" s="74" t="s">
        <v>361</v>
      </c>
      <c r="C455" s="125" t="s">
        <v>365</v>
      </c>
      <c r="D455" s="387">
        <f t="shared" si="117"/>
        <v>0</v>
      </c>
      <c r="E455" s="104">
        <f t="shared" si="114"/>
        <v>4</v>
      </c>
      <c r="F455" s="83">
        <f t="shared" si="118"/>
        <v>105003.87359999999</v>
      </c>
      <c r="G455" s="83">
        <f t="shared" si="119"/>
        <v>0</v>
      </c>
      <c r="H455" s="483">
        <f t="shared" si="120"/>
        <v>0</v>
      </c>
      <c r="I455" s="83">
        <f>+'Costo adq'!C443*$I$1</f>
        <v>3278400</v>
      </c>
      <c r="J455" s="83">
        <f t="shared" si="123"/>
        <v>0</v>
      </c>
      <c r="K455" s="358">
        <f t="shared" si="110"/>
        <v>0</v>
      </c>
      <c r="L455" s="54">
        <f>VLOOKUP(A455,'Precios oferta'!$A$30:$U$436,$B$5,FALSE)</f>
        <v>8248812.8383999998</v>
      </c>
      <c r="M455" s="48">
        <f>VLOOKUP(A455,'Precios piso'!$A$30:$U$436,$B$5,FALSE)</f>
        <v>140005.1648</v>
      </c>
      <c r="N455" s="105">
        <f t="shared" si="121"/>
        <v>0.98302723464057207</v>
      </c>
      <c r="O455" s="131">
        <f t="shared" si="122"/>
        <v>123204.54502399999</v>
      </c>
      <c r="P455" s="388">
        <f t="shared" si="124"/>
        <v>0.98506396648370342</v>
      </c>
      <c r="Q455" s="131">
        <f t="shared" si="115"/>
        <v>112004.13184</v>
      </c>
      <c r="R455" s="105">
        <f t="shared" si="116"/>
        <v>0.9864217877124577</v>
      </c>
      <c r="S455" s="131">
        <f t="shared" si="111"/>
        <v>105003.87359999999</v>
      </c>
      <c r="T455" s="94">
        <f t="shared" si="112"/>
        <v>0.98727042598042902</v>
      </c>
      <c r="V455" s="82"/>
      <c r="W455" s="505">
        <v>407</v>
      </c>
      <c r="X455" s="506" t="s">
        <v>1057</v>
      </c>
      <c r="Y455" s="509">
        <v>0</v>
      </c>
      <c r="Z455" s="404">
        <v>0</v>
      </c>
      <c r="AA455" s="408">
        <f t="shared" si="113"/>
        <v>0.98082078514947191</v>
      </c>
      <c r="AB455" s="411"/>
      <c r="AC455" s="446"/>
    </row>
    <row r="456" spans="1:29" ht="15.75">
      <c r="A456" s="67">
        <v>404</v>
      </c>
      <c r="B456" s="74" t="s">
        <v>362</v>
      </c>
      <c r="C456" s="125" t="s">
        <v>366</v>
      </c>
      <c r="D456" s="387">
        <f t="shared" si="117"/>
        <v>3</v>
      </c>
      <c r="E456" s="104">
        <f t="shared" si="114"/>
        <v>4</v>
      </c>
      <c r="F456" s="83">
        <f t="shared" si="118"/>
        <v>45164.8776</v>
      </c>
      <c r="G456" s="83">
        <f t="shared" si="119"/>
        <v>541978.53119999997</v>
      </c>
      <c r="H456" s="483">
        <f t="shared" si="120"/>
        <v>0</v>
      </c>
      <c r="I456" s="83">
        <f>+'Costo adq'!C444*$I$1</f>
        <v>91084.88</v>
      </c>
      <c r="J456" s="83">
        <f t="shared" si="123"/>
        <v>1093018.56</v>
      </c>
      <c r="L456" s="54">
        <f>VLOOKUP(A456,'Precios oferta'!$A$30:$U$436,$B$5,FALSE)</f>
        <v>268460.52639999997</v>
      </c>
      <c r="M456" s="48">
        <f>VLOOKUP(A456,'Precios piso'!$A$30:$U$436,$B$5,FALSE)</f>
        <v>60219.836799999997</v>
      </c>
      <c r="N456" s="105">
        <f t="shared" si="121"/>
        <v>0.77568457602487961</v>
      </c>
      <c r="O456" s="131">
        <f t="shared" si="122"/>
        <v>52993.456383999997</v>
      </c>
      <c r="P456" s="388">
        <f t="shared" si="124"/>
        <v>0.80260242690189409</v>
      </c>
      <c r="Q456" s="131">
        <f t="shared" si="115"/>
        <v>48175.869439999995</v>
      </c>
      <c r="R456" s="105">
        <f t="shared" si="116"/>
        <v>0.82054766081990371</v>
      </c>
      <c r="S456" s="131">
        <f t="shared" si="111"/>
        <v>45164.8776</v>
      </c>
      <c r="T456" s="94">
        <f t="shared" si="112"/>
        <v>0.83176343201865965</v>
      </c>
      <c r="V456" s="82"/>
      <c r="Y456" s="383" t="s">
        <v>1049</v>
      </c>
      <c r="AA456" s="405"/>
      <c r="AB456" s="409"/>
    </row>
    <row r="457" spans="1:29">
      <c r="A457" s="67">
        <v>405</v>
      </c>
      <c r="B457" s="74" t="s">
        <v>362</v>
      </c>
      <c r="C457" s="125" t="s">
        <v>365</v>
      </c>
      <c r="D457" s="387">
        <f t="shared" si="117"/>
        <v>0</v>
      </c>
      <c r="E457" s="104">
        <f t="shared" si="114"/>
        <v>4</v>
      </c>
      <c r="F457" s="83">
        <f t="shared" si="118"/>
        <v>62249.439599999998</v>
      </c>
      <c r="G457" s="83">
        <f t="shared" si="119"/>
        <v>0</v>
      </c>
      <c r="H457" s="483">
        <f t="shared" si="120"/>
        <v>0</v>
      </c>
      <c r="I457" s="83">
        <f>+'Costo adq'!C445*$I$1</f>
        <v>1967040</v>
      </c>
      <c r="J457" s="83">
        <f t="shared" si="123"/>
        <v>0</v>
      </c>
      <c r="K457" s="358">
        <f t="shared" si="110"/>
        <v>0</v>
      </c>
      <c r="L457" s="54">
        <f>VLOOKUP(A457,'Precios oferta'!$A$30:$U$436,$B$5,FALSE)</f>
        <v>5050295.4255999997</v>
      </c>
      <c r="M457" s="48">
        <f>VLOOKUP(A457,'Precios piso'!$A$30:$U$436,$B$5,FALSE)</f>
        <v>82999.252800000002</v>
      </c>
      <c r="N457" s="105">
        <f t="shared" si="121"/>
        <v>0.98356546581824189</v>
      </c>
      <c r="O457" s="131">
        <f t="shared" si="122"/>
        <v>73039.342464000001</v>
      </c>
      <c r="P457" s="388">
        <f t="shared" si="124"/>
        <v>0.98553760992005279</v>
      </c>
      <c r="Q457" s="131">
        <f t="shared" si="115"/>
        <v>66399.402239999996</v>
      </c>
      <c r="R457" s="105">
        <f t="shared" si="116"/>
        <v>0.98685237265459347</v>
      </c>
      <c r="S457" s="131">
        <f t="shared" si="111"/>
        <v>62249.439599999998</v>
      </c>
      <c r="T457" s="94">
        <f t="shared" si="112"/>
        <v>0.98767409936368145</v>
      </c>
      <c r="V457" s="82"/>
    </row>
    <row r="458" spans="1:29">
      <c r="A458" s="67">
        <v>406</v>
      </c>
      <c r="B458" s="74" t="s">
        <v>363</v>
      </c>
      <c r="C458" s="125" t="s">
        <v>366</v>
      </c>
      <c r="D458" s="387">
        <f t="shared" si="117"/>
        <v>0</v>
      </c>
      <c r="E458" s="104">
        <f t="shared" si="114"/>
        <v>4</v>
      </c>
      <c r="F458" s="83">
        <f t="shared" si="118"/>
        <v>33397.880400000002</v>
      </c>
      <c r="G458" s="83">
        <f t="shared" si="119"/>
        <v>0</v>
      </c>
      <c r="H458" s="483">
        <f t="shared" si="120"/>
        <v>0</v>
      </c>
      <c r="I458" s="83">
        <f>+'Costo adq'!C446*$I$1</f>
        <v>58300.88</v>
      </c>
      <c r="J458" s="83">
        <f t="shared" si="123"/>
        <v>0</v>
      </c>
      <c r="L458" s="54">
        <f>VLOOKUP(A458,'Precios oferta'!$A$30:$U$436,$B$5,FALSE)</f>
        <v>156290.0704</v>
      </c>
      <c r="M458" s="48">
        <f>VLOOKUP(A458,'Precios piso'!$A$30:$U$436,$B$5,FALSE)</f>
        <v>44530.5072</v>
      </c>
      <c r="N458" s="105">
        <f t="shared" si="121"/>
        <v>0.71507782237200912</v>
      </c>
      <c r="O458" s="131">
        <f t="shared" si="122"/>
        <v>39186.846336000002</v>
      </c>
      <c r="P458" s="388">
        <f t="shared" si="124"/>
        <v>0.74926848368736798</v>
      </c>
      <c r="Q458" s="131">
        <f t="shared" si="115"/>
        <v>35624.405760000001</v>
      </c>
      <c r="R458" s="105">
        <f t="shared" si="116"/>
        <v>0.7720622578976073</v>
      </c>
      <c r="S458" s="131">
        <f t="shared" si="111"/>
        <v>33397.880400000002</v>
      </c>
      <c r="T458" s="94">
        <f t="shared" si="112"/>
        <v>0.78630836677900684</v>
      </c>
      <c r="V458" s="82"/>
    </row>
    <row r="459" spans="1:29">
      <c r="A459" s="67">
        <v>407</v>
      </c>
      <c r="B459" s="74" t="s">
        <v>363</v>
      </c>
      <c r="C459" s="125" t="s">
        <v>365</v>
      </c>
      <c r="D459" s="387">
        <f t="shared" si="117"/>
        <v>0</v>
      </c>
      <c r="E459" s="104">
        <f t="shared" si="114"/>
        <v>4</v>
      </c>
      <c r="F459" s="83">
        <f t="shared" si="118"/>
        <v>53991.969599999997</v>
      </c>
      <c r="G459" s="83">
        <f t="shared" si="119"/>
        <v>0</v>
      </c>
      <c r="H459" s="483">
        <f t="shared" si="120"/>
        <v>0</v>
      </c>
      <c r="I459" s="83">
        <f>+'Costo adq'!C447*$I$1</f>
        <v>2098176</v>
      </c>
      <c r="J459" s="83">
        <f t="shared" si="123"/>
        <v>0</v>
      </c>
      <c r="K459" s="358">
        <f t="shared" si="110"/>
        <v>0</v>
      </c>
      <c r="L459" s="54">
        <f>VLOOKUP(A459,'Precios oferta'!$A$30:$U$436,$B$5,FALSE)</f>
        <v>2815129.2960000001</v>
      </c>
      <c r="M459" s="48">
        <f>VLOOKUP(A459,'Precios piso'!$A$30:$U$436,$B$5,FALSE)</f>
        <v>71989.292799999996</v>
      </c>
      <c r="N459" s="105">
        <f t="shared" si="121"/>
        <v>0.97442771353262914</v>
      </c>
      <c r="O459" s="131">
        <f t="shared" si="122"/>
        <v>63350.577663999997</v>
      </c>
      <c r="P459" s="388">
        <f t="shared" si="124"/>
        <v>0.97749638790871363</v>
      </c>
      <c r="Q459" s="131">
        <f t="shared" si="115"/>
        <v>57591.434239999995</v>
      </c>
      <c r="R459" s="105">
        <f t="shared" si="116"/>
        <v>0.97954217082610329</v>
      </c>
      <c r="S459" s="131">
        <f t="shared" si="111"/>
        <v>53991.969599999997</v>
      </c>
      <c r="T459" s="94">
        <f t="shared" si="112"/>
        <v>0.98082078514947191</v>
      </c>
      <c r="V459" s="82"/>
    </row>
    <row r="460" spans="1:29">
      <c r="A460" s="99"/>
      <c r="B460" s="108"/>
      <c r="C460" s="108"/>
      <c r="D460" s="591" t="s">
        <v>464</v>
      </c>
      <c r="E460" s="587"/>
      <c r="F460" s="588"/>
      <c r="G460" s="92">
        <f>SUM(G260:G459)</f>
        <v>1692826.4279999998</v>
      </c>
      <c r="J460" s="93">
        <f>SUM(J260:J459)</f>
        <v>3845213.5040000002</v>
      </c>
      <c r="K460" s="117">
        <f>+G460-J460</f>
        <v>-2152387.0760000004</v>
      </c>
      <c r="L460" s="371">
        <f>SUM(L260:L385)</f>
        <v>51890998.217599995</v>
      </c>
      <c r="Q460" s="371">
        <f>SUM(Q260:Q459)</f>
        <v>3129575.5020799991</v>
      </c>
      <c r="R460" s="106">
        <f>SUM(R260:R385)</f>
        <v>113.67408520425649</v>
      </c>
      <c r="S460" s="371">
        <f>SUM(S260:S459)</f>
        <v>2933977.0332000004</v>
      </c>
      <c r="T460" s="106">
        <f>SUM(T260:T459)</f>
        <v>183.79296748715842</v>
      </c>
      <c r="V460" s="82"/>
    </row>
    <row r="461" spans="1:29">
      <c r="Q461" s="113">
        <f>+Q256+Q460</f>
        <v>4213616.4915199988</v>
      </c>
      <c r="S461" s="113">
        <f>+S256+S460</f>
        <v>3950265.4607999995</v>
      </c>
      <c r="U461" s="82"/>
      <c r="V461" s="82"/>
    </row>
    <row r="463" spans="1:29">
      <c r="A463" s="592" t="s">
        <v>473</v>
      </c>
      <c r="B463" s="592"/>
      <c r="C463" s="592"/>
      <c r="D463" s="592"/>
      <c r="E463" s="592"/>
      <c r="F463" s="592"/>
      <c r="G463" s="92">
        <f>G460+G256+G40+G11</f>
        <v>440869654.39680004</v>
      </c>
      <c r="J463" s="93">
        <f>J460+J256+J40+J11</f>
        <v>387381663.62365758</v>
      </c>
      <c r="K463" s="117">
        <f>+G463-J463</f>
        <v>53487990.773142457</v>
      </c>
    </row>
    <row r="465" spans="1:18">
      <c r="D465" s="84" t="s">
        <v>474</v>
      </c>
      <c r="L465" s="595" t="s">
        <v>633</v>
      </c>
      <c r="M465" s="596"/>
      <c r="N465" s="597"/>
      <c r="Q465" s="451" t="s">
        <v>1065</v>
      </c>
    </row>
    <row r="466" spans="1:18">
      <c r="A466" s="593" t="s">
        <v>475</v>
      </c>
      <c r="B466" s="594"/>
      <c r="C466" s="85"/>
      <c r="D466" s="86" t="s">
        <v>476</v>
      </c>
      <c r="F466" s="51" t="s">
        <v>477</v>
      </c>
      <c r="G466" s="51" t="s">
        <v>478</v>
      </c>
    </row>
    <row r="467" spans="1:18">
      <c r="A467" s="584" t="s">
        <v>479</v>
      </c>
      <c r="B467" s="585"/>
      <c r="C467" s="218">
        <f>+G40</f>
        <v>394538938.41600001</v>
      </c>
      <c r="D467" s="88">
        <f>+C467*N467</f>
        <v>398524180.60606062</v>
      </c>
      <c r="E467" s="89">
        <f>D467/$D$475</f>
        <v>0.79974139949493417</v>
      </c>
      <c r="F467" s="88"/>
      <c r="G467" s="88">
        <f>+F467-D467</f>
        <v>-398524180.60606062</v>
      </c>
      <c r="H467" s="82">
        <f>+D467</f>
        <v>398524180.60606062</v>
      </c>
      <c r="I467" s="114">
        <f>+H467-D467</f>
        <v>0</v>
      </c>
      <c r="J467" s="88">
        <f>J40</f>
        <v>304904740</v>
      </c>
      <c r="L467" s="115">
        <v>2465868</v>
      </c>
      <c r="M467" s="115">
        <v>2490775.7599999998</v>
      </c>
      <c r="N467" s="116">
        <f>+M467/L467</f>
        <v>1.0101010110841293</v>
      </c>
      <c r="Q467" s="452">
        <f>SUM([2]Cotizacion!$Q$8:$Q$10)</f>
        <v>398524121.59999996</v>
      </c>
      <c r="R467" s="117">
        <f>+D467-Q467</f>
        <v>59.006060659885406</v>
      </c>
    </row>
    <row r="468" spans="1:18">
      <c r="A468" s="584" t="s">
        <v>480</v>
      </c>
      <c r="B468" s="585"/>
      <c r="C468" s="218">
        <f>+G44</f>
        <v>0</v>
      </c>
      <c r="D468" s="88">
        <f>+C468*N467</f>
        <v>0</v>
      </c>
      <c r="E468" s="89">
        <f>D468/$D$475</f>
        <v>0</v>
      </c>
      <c r="F468" s="88"/>
      <c r="G468" s="88">
        <f t="shared" ref="G468:G470" si="125">+F468-D468</f>
        <v>0</v>
      </c>
      <c r="H468" s="82">
        <f>+D468</f>
        <v>0</v>
      </c>
      <c r="I468" s="114">
        <f t="shared" ref="I468:I475" si="126">+H468-D468</f>
        <v>0</v>
      </c>
      <c r="J468" s="88">
        <f>J44</f>
        <v>0</v>
      </c>
      <c r="L468" s="117"/>
      <c r="M468" s="117"/>
      <c r="N468" s="363" t="s">
        <v>474</v>
      </c>
      <c r="Q468" s="452">
        <v>0</v>
      </c>
      <c r="R468" s="117">
        <f t="shared" ref="R468:R475" si="127">+D468-Q468</f>
        <v>0</v>
      </c>
    </row>
    <row r="469" spans="1:18">
      <c r="A469" s="584" t="s">
        <v>481</v>
      </c>
      <c r="B469" s="585"/>
      <c r="C469" s="218">
        <f>+G256+G460</f>
        <v>46330715.980800003</v>
      </c>
      <c r="D469" s="88">
        <f>+C469*N467</f>
        <v>46798703.056457713</v>
      </c>
      <c r="E469" s="89">
        <f>D469/$D$475</f>
        <v>9.3913649656093584E-2</v>
      </c>
      <c r="F469" s="88"/>
      <c r="G469" s="88">
        <f t="shared" si="125"/>
        <v>-46798703.056457713</v>
      </c>
      <c r="H469" s="82">
        <f>+V461</f>
        <v>0</v>
      </c>
      <c r="I469" s="114">
        <f t="shared" si="126"/>
        <v>-46798703.056457713</v>
      </c>
      <c r="J469" s="88">
        <f>J256+J460</f>
        <v>82476923.623657614</v>
      </c>
      <c r="L469" s="117"/>
      <c r="M469" s="117"/>
      <c r="N469" s="117"/>
      <c r="Q469" s="452">
        <f>SUM([2]Cotizacion!$Q$11:$Q$96)</f>
        <v>47175019.849999994</v>
      </c>
      <c r="R469" s="117">
        <f t="shared" si="127"/>
        <v>-376316.79354228079</v>
      </c>
    </row>
    <row r="470" spans="1:18">
      <c r="A470" s="584" t="s">
        <v>501</v>
      </c>
      <c r="B470" s="585"/>
      <c r="C470" s="218">
        <f>+G11</f>
        <v>0</v>
      </c>
      <c r="D470" s="88">
        <f>+C470*N470</f>
        <v>0</v>
      </c>
      <c r="E470" s="89">
        <f>D470/$D$475</f>
        <v>0</v>
      </c>
      <c r="F470" s="88"/>
      <c r="G470" s="88">
        <f t="shared" si="125"/>
        <v>0</v>
      </c>
      <c r="H470" s="82">
        <f>+D470</f>
        <v>0</v>
      </c>
      <c r="I470" s="114">
        <f t="shared" si="126"/>
        <v>0</v>
      </c>
      <c r="J470" s="88">
        <f>J11</f>
        <v>0</v>
      </c>
      <c r="L470" s="115">
        <v>1</v>
      </c>
      <c r="M470" s="115">
        <v>1</v>
      </c>
      <c r="N470" s="116">
        <f>+M470/L470</f>
        <v>1</v>
      </c>
      <c r="Q470" s="452">
        <v>0</v>
      </c>
      <c r="R470" s="117">
        <f t="shared" si="127"/>
        <v>0</v>
      </c>
    </row>
    <row r="471" spans="1:18">
      <c r="A471" s="584"/>
      <c r="B471" s="585"/>
      <c r="C471" s="87"/>
      <c r="D471" s="88"/>
      <c r="E471" s="89"/>
      <c r="F471" s="88"/>
      <c r="G471" s="88"/>
      <c r="H471" s="82"/>
      <c r="I471" s="114"/>
      <c r="J471" s="88"/>
      <c r="L471" s="117"/>
      <c r="M471" s="117"/>
      <c r="N471" s="363" t="s">
        <v>502</v>
      </c>
      <c r="Q471" s="452">
        <v>0</v>
      </c>
      <c r="R471" s="117">
        <f t="shared" si="127"/>
        <v>0</v>
      </c>
    </row>
    <row r="472" spans="1:18">
      <c r="A472" s="86" t="s">
        <v>464</v>
      </c>
      <c r="B472" s="90"/>
      <c r="C472" s="484">
        <f>SUM(C467:C471)</f>
        <v>440869654.39680004</v>
      </c>
      <c r="D472" s="91">
        <f>SUM(D467:D471)</f>
        <v>445322883.66251832</v>
      </c>
      <c r="E472" s="89">
        <f>D472/$D$475</f>
        <v>0.89365504915102767</v>
      </c>
      <c r="F472" s="92">
        <f>SUM(F467:F471)</f>
        <v>0</v>
      </c>
      <c r="G472" s="92">
        <f>SUM(G467:G471)</f>
        <v>-445322883.66251832</v>
      </c>
      <c r="H472" s="114">
        <f>SUM(H467:H471)</f>
        <v>398524180.60606062</v>
      </c>
      <c r="I472" s="114">
        <f t="shared" si="126"/>
        <v>-46798703.056457698</v>
      </c>
      <c r="J472" s="93">
        <f>SUM(J467:J471)</f>
        <v>387381663.62365758</v>
      </c>
      <c r="Q472" s="453">
        <f>SUM(Q467:Q471)</f>
        <v>445699141.44999993</v>
      </c>
      <c r="R472" s="117">
        <f t="shared" si="127"/>
        <v>-376257.78748160601</v>
      </c>
    </row>
    <row r="473" spans="1:18">
      <c r="A473" s="45" t="s">
        <v>2</v>
      </c>
      <c r="B473" s="46"/>
      <c r="C473" s="219">
        <v>0.1</v>
      </c>
      <c r="D473" s="95">
        <f>+D472*C473</f>
        <v>44532288.366251834</v>
      </c>
      <c r="E473" s="89">
        <f>D473/$D$475</f>
        <v>8.936550491510277E-2</v>
      </c>
      <c r="F473" s="88"/>
      <c r="G473" s="88">
        <f t="shared" ref="G473:G474" si="128">+F473-D473</f>
        <v>-44532288.366251834</v>
      </c>
      <c r="H473" s="95">
        <f>+H472*C473</f>
        <v>39852418.060606062</v>
      </c>
      <c r="I473" s="114">
        <f t="shared" si="126"/>
        <v>-4679870.3056457713</v>
      </c>
      <c r="J473" s="88">
        <v>0</v>
      </c>
      <c r="Q473" s="452">
        <f>+Q472*0.1</f>
        <v>44569914.144999996</v>
      </c>
      <c r="R473" s="117">
        <f t="shared" si="127"/>
        <v>-37625.778748162091</v>
      </c>
    </row>
    <row r="474" spans="1:18">
      <c r="A474" s="45" t="s">
        <v>482</v>
      </c>
      <c r="B474" s="46"/>
      <c r="C474" s="219">
        <v>0.19</v>
      </c>
      <c r="D474" s="95">
        <f>+D473*C474</f>
        <v>8461134.7895878479</v>
      </c>
      <c r="E474" s="89">
        <f>D474/$D$475</f>
        <v>1.6979445933869526E-2</v>
      </c>
      <c r="F474" s="88"/>
      <c r="G474" s="88">
        <f t="shared" si="128"/>
        <v>-8461134.7895878479</v>
      </c>
      <c r="H474" s="95">
        <f>+H473*C474</f>
        <v>7571959.4315151516</v>
      </c>
      <c r="I474" s="114">
        <f t="shared" si="126"/>
        <v>-889175.35807269625</v>
      </c>
      <c r="J474" s="88">
        <f>(J472*10%)*19%</f>
        <v>7360251.6088494947</v>
      </c>
      <c r="N474" s="463" t="s">
        <v>1071</v>
      </c>
      <c r="Q474" s="452">
        <f>+Q473*0.19</f>
        <v>8468283.687549999</v>
      </c>
      <c r="R474" s="117">
        <f t="shared" si="127"/>
        <v>-7148.8979621510953</v>
      </c>
    </row>
    <row r="475" spans="1:18">
      <c r="A475" s="86" t="s">
        <v>483</v>
      </c>
      <c r="B475" s="90"/>
      <c r="C475" s="90"/>
      <c r="D475" s="91">
        <f>D472+D473+D474</f>
        <v>498316306.818358</v>
      </c>
      <c r="E475" s="96">
        <f>+J475/D475</f>
        <v>0.79215130998391148</v>
      </c>
      <c r="F475" s="92">
        <f>F472+F473+F474</f>
        <v>0</v>
      </c>
      <c r="G475" s="92">
        <f>G472+G473+G474</f>
        <v>-498316306.818358</v>
      </c>
      <c r="H475" s="114">
        <f>+H472+H473+H474</f>
        <v>445948558.09818184</v>
      </c>
      <c r="I475" s="114">
        <f t="shared" si="126"/>
        <v>-52367748.72017616</v>
      </c>
      <c r="J475" s="97">
        <f>J472+J473+J474</f>
        <v>394741915.23250705</v>
      </c>
      <c r="K475" s="115">
        <f>D475-J475</f>
        <v>103574391.58585095</v>
      </c>
      <c r="M475" s="82">
        <f>+N475-D475</f>
        <v>421032.47164195776</v>
      </c>
      <c r="N475" s="464">
        <v>498737339.28999996</v>
      </c>
      <c r="O475" s="82">
        <f>+N475-Q475</f>
        <v>7.4500441551208496E-3</v>
      </c>
      <c r="Q475" s="453">
        <f>+Q472+Q473+Q474</f>
        <v>498737339.28254992</v>
      </c>
      <c r="R475" s="117">
        <f t="shared" si="127"/>
        <v>-421032.4641919136</v>
      </c>
    </row>
    <row r="476" spans="1:18">
      <c r="D476" s="82"/>
      <c r="E476" s="98" t="e">
        <f>+D475/F475</f>
        <v>#DIV/0!</v>
      </c>
      <c r="F476" s="82"/>
      <c r="G476" s="82"/>
      <c r="H476" s="82"/>
      <c r="I476" s="82"/>
      <c r="J476" s="66" t="s">
        <v>484</v>
      </c>
      <c r="K476" s="359">
        <f>K475/J475</f>
        <v>0.26238508653139753</v>
      </c>
      <c r="N476" s="464"/>
    </row>
    <row r="477" spans="1:18" ht="14.25" thickBot="1">
      <c r="D477" s="82"/>
      <c r="F477" s="82">
        <f>+F476-F475</f>
        <v>0</v>
      </c>
      <c r="G477" s="82"/>
      <c r="H477" s="82"/>
    </row>
    <row r="478" spans="1:18" ht="14.25" thickBot="1">
      <c r="D478" s="586" t="s">
        <v>627</v>
      </c>
      <c r="E478" s="586"/>
      <c r="F478" s="586"/>
      <c r="G478" s="586"/>
      <c r="H478" s="586"/>
      <c r="I478" s="586"/>
      <c r="J478" s="393">
        <f>SUM(C485:C490)</f>
        <v>27942626.254823465</v>
      </c>
      <c r="K478" s="410" t="s">
        <v>500</v>
      </c>
      <c r="M478" s="389" t="s">
        <v>1059</v>
      </c>
      <c r="Q478" s="393">
        <f>+J478</f>
        <v>27942626.254823465</v>
      </c>
    </row>
    <row r="479" spans="1:18">
      <c r="D479" s="587" t="s">
        <v>486</v>
      </c>
      <c r="E479" s="587"/>
      <c r="F479" s="587"/>
      <c r="G479" s="587"/>
      <c r="H479" s="587"/>
      <c r="I479" s="588"/>
      <c r="J479" s="100">
        <f>+'Costo polizas'!I28</f>
        <v>978211.42983928195</v>
      </c>
      <c r="K479" s="519">
        <f>SUM(K260:K459)</f>
        <v>1002075.7439999999</v>
      </c>
      <c r="M479" s="390" t="str">
        <f>$L$48</f>
        <v>P Oferta</v>
      </c>
      <c r="Q479" s="100">
        <f>+J479</f>
        <v>978211.42983928195</v>
      </c>
    </row>
    <row r="480" spans="1:18" ht="14.25" thickBot="1">
      <c r="D480" s="589" t="s">
        <v>487</v>
      </c>
      <c r="E480" s="589"/>
      <c r="F480" s="589"/>
      <c r="G480" s="589"/>
      <c r="H480" s="589"/>
      <c r="I480" s="590"/>
      <c r="J480" s="93">
        <f>J475+J478+J479</f>
        <v>423662752.91716975</v>
      </c>
      <c r="K480" s="520">
        <f>+J480-K479</f>
        <v>422660677.17316973</v>
      </c>
      <c r="M480" s="391" t="str">
        <f>$M$48</f>
        <v>P Piso</v>
      </c>
      <c r="Q480" s="93">
        <f>+J480</f>
        <v>423662752.91716975</v>
      </c>
    </row>
    <row r="481" spans="1:17" ht="14.25" thickBot="1">
      <c r="D481" s="574" t="s">
        <v>488</v>
      </c>
      <c r="E481" s="574"/>
      <c r="F481" s="574"/>
      <c r="G481" s="574"/>
      <c r="H481" s="574"/>
      <c r="I481" s="574"/>
      <c r="J481" s="100">
        <f>D475-J480</f>
        <v>74653553.901188254</v>
      </c>
      <c r="K481" s="519">
        <f>+D475-K480</f>
        <v>75655629.645188272</v>
      </c>
      <c r="M481" s="398" t="str">
        <f>$O$48</f>
        <v>A convenir</v>
      </c>
      <c r="N481" s="397">
        <v>0.12</v>
      </c>
      <c r="Q481" s="454">
        <f>+Q475-Q480</f>
        <v>75074586.365380168</v>
      </c>
    </row>
    <row r="482" spans="1:17">
      <c r="D482" s="583" t="s">
        <v>489</v>
      </c>
      <c r="E482" s="583"/>
      <c r="F482" s="583"/>
      <c r="G482" s="583"/>
      <c r="H482" s="583"/>
      <c r="I482" s="583"/>
      <c r="J482" s="96">
        <f>J481/D475</f>
        <v>0.14981158127823485</v>
      </c>
      <c r="K482" s="521">
        <f>+K481/D475</f>
        <v>0.15182250432106692</v>
      </c>
      <c r="M482" s="392" t="str">
        <f>$Q$48</f>
        <v>P Piso-20%</v>
      </c>
      <c r="Q482" s="455">
        <f>+Q481/Q475</f>
        <v>0.15052930761786842</v>
      </c>
    </row>
    <row r="483" spans="1:17" ht="21.75" customHeight="1" thickBot="1">
      <c r="K483" s="522" t="s">
        <v>1124</v>
      </c>
      <c r="M483" s="394" t="str">
        <f>$S$48</f>
        <v>P Piso-25%</v>
      </c>
    </row>
    <row r="484" spans="1:17">
      <c r="B484" s="362" t="s">
        <v>631</v>
      </c>
      <c r="C484" s="362" t="s">
        <v>632</v>
      </c>
      <c r="H484" s="82"/>
    </row>
    <row r="485" spans="1:17">
      <c r="B485" s="55" t="s">
        <v>628</v>
      </c>
      <c r="C485" s="132">
        <f>+(C4*100000)*B6</f>
        <v>4800000</v>
      </c>
      <c r="D485" s="114">
        <f>+C485/B6</f>
        <v>1200000</v>
      </c>
      <c r="H485" s="448"/>
      <c r="J485" s="523" t="s">
        <v>1125</v>
      </c>
      <c r="K485" s="524">
        <f>+Q475</f>
        <v>498737339.28254992</v>
      </c>
    </row>
    <row r="486" spans="1:17">
      <c r="B486" s="55" t="s">
        <v>629</v>
      </c>
      <c r="C486" s="132">
        <f>+(D16+D17+D19+D20+D21+D22+D31+D32+D34+D35+D36+D37)*400000</f>
        <v>2400000</v>
      </c>
      <c r="J486" s="523" t="s">
        <v>447</v>
      </c>
      <c r="K486" s="525">
        <f>+J480</f>
        <v>423662752.91716975</v>
      </c>
    </row>
    <row r="487" spans="1:17">
      <c r="B487" s="55" t="s">
        <v>1073</v>
      </c>
      <c r="C487" s="132">
        <f>+D472-C472</f>
        <v>4453229.2657182813</v>
      </c>
      <c r="J487" s="523" t="s">
        <v>484</v>
      </c>
      <c r="K487" s="525">
        <f>+K485-K486</f>
        <v>75074586.365380168</v>
      </c>
    </row>
    <row r="488" spans="1:17">
      <c r="B488" s="55" t="s">
        <v>1074</v>
      </c>
      <c r="C488" s="132">
        <f>(D472*0.02)/B6*2</f>
        <v>4453228.836625183</v>
      </c>
      <c r="J488" s="523" t="s">
        <v>567</v>
      </c>
      <c r="K488" s="526">
        <f>+K487/K485</f>
        <v>0.15052930761786842</v>
      </c>
    </row>
    <row r="489" spans="1:17">
      <c r="B489" s="55" t="s">
        <v>630</v>
      </c>
      <c r="C489" s="132">
        <f>+C467*0.03</f>
        <v>11836168.152480001</v>
      </c>
    </row>
    <row r="490" spans="1:17">
      <c r="B490" s="55"/>
      <c r="C490" s="132"/>
    </row>
    <row r="492" spans="1:17">
      <c r="A492" s="49" t="s">
        <v>445</v>
      </c>
      <c r="B492" s="49" t="s">
        <v>446</v>
      </c>
      <c r="C492" s="49" t="s">
        <v>503</v>
      </c>
      <c r="D492" s="49" t="s">
        <v>465</v>
      </c>
      <c r="E492" s="86" t="s">
        <v>466</v>
      </c>
      <c r="F492" s="81" t="s">
        <v>447</v>
      </c>
      <c r="G492" s="86" t="s">
        <v>505</v>
      </c>
      <c r="H492" s="81" t="s">
        <v>506</v>
      </c>
      <c r="I492" s="130" t="s">
        <v>507</v>
      </c>
    </row>
    <row r="493" spans="1:17">
      <c r="A493" s="67">
        <v>209</v>
      </c>
      <c r="B493" s="74" t="s">
        <v>227</v>
      </c>
      <c r="C493" s="125" t="s">
        <v>365</v>
      </c>
      <c r="D493" s="73">
        <f>+D261</f>
        <v>0</v>
      </c>
      <c r="E493" s="132">
        <f>+F261</f>
        <v>12557.9112</v>
      </c>
      <c r="F493" s="132">
        <f>+I261</f>
        <v>49473.635007999997</v>
      </c>
      <c r="G493" s="132">
        <f>+D493*E493</f>
        <v>0</v>
      </c>
      <c r="H493" s="132">
        <f>+D493*F493</f>
        <v>0</v>
      </c>
      <c r="I493" s="132">
        <f>+G493-H493</f>
        <v>0</v>
      </c>
    </row>
    <row r="494" spans="1:17">
      <c r="A494" s="67">
        <v>213</v>
      </c>
      <c r="B494" s="74" t="s">
        <v>229</v>
      </c>
      <c r="C494" s="125" t="s">
        <v>365</v>
      </c>
      <c r="D494" s="73">
        <f>+D265</f>
        <v>0</v>
      </c>
      <c r="E494" s="132">
        <f>+F265</f>
        <v>1893.2759999999998</v>
      </c>
      <c r="F494" s="132">
        <f>+I265</f>
        <v>2860.9504000000002</v>
      </c>
      <c r="G494" s="132">
        <f t="shared" ref="G494:G557" si="129">+D494*E494</f>
        <v>0</v>
      </c>
      <c r="H494" s="132">
        <f t="shared" ref="H494:H557" si="130">+D494*F494</f>
        <v>0</v>
      </c>
      <c r="I494" s="132">
        <f t="shared" ref="I494:I557" si="131">+G494-H494</f>
        <v>0</v>
      </c>
    </row>
    <row r="495" spans="1:17">
      <c r="A495" s="67">
        <v>214</v>
      </c>
      <c r="B495" s="74" t="s">
        <v>230</v>
      </c>
      <c r="C495" s="125" t="s">
        <v>365</v>
      </c>
      <c r="D495" s="73">
        <f>+D266</f>
        <v>0</v>
      </c>
      <c r="E495" s="132">
        <f>+F266</f>
        <v>1849.0176000000001</v>
      </c>
      <c r="F495" s="132">
        <f>+I266</f>
        <v>3251.08</v>
      </c>
      <c r="G495" s="132">
        <f t="shared" si="129"/>
        <v>0</v>
      </c>
      <c r="H495" s="132">
        <f t="shared" si="130"/>
        <v>0</v>
      </c>
      <c r="I495" s="132">
        <f t="shared" si="131"/>
        <v>0</v>
      </c>
    </row>
    <row r="496" spans="1:17">
      <c r="A496" s="67">
        <v>215</v>
      </c>
      <c r="B496" s="74" t="s">
        <v>231</v>
      </c>
      <c r="C496" s="125" t="s">
        <v>365</v>
      </c>
      <c r="D496" s="73">
        <f>+D267</f>
        <v>0</v>
      </c>
      <c r="E496" s="132">
        <f>+F267</f>
        <v>1849.0176000000001</v>
      </c>
      <c r="F496" s="132">
        <f>+I267</f>
        <v>3251.08</v>
      </c>
      <c r="G496" s="132">
        <f t="shared" si="129"/>
        <v>0</v>
      </c>
      <c r="H496" s="132">
        <f t="shared" si="130"/>
        <v>0</v>
      </c>
      <c r="I496" s="132">
        <f t="shared" si="131"/>
        <v>0</v>
      </c>
    </row>
    <row r="497" spans="1:9">
      <c r="A497" s="67">
        <v>216</v>
      </c>
      <c r="B497" s="74" t="s">
        <v>232</v>
      </c>
      <c r="C497" s="125" t="s">
        <v>365</v>
      </c>
      <c r="D497" s="73">
        <f>+D268</f>
        <v>0</v>
      </c>
      <c r="E497" s="132">
        <f>+F268</f>
        <v>946.63799999999992</v>
      </c>
      <c r="F497" s="132">
        <f>+I268</f>
        <v>3251.08</v>
      </c>
      <c r="G497" s="132">
        <f t="shared" si="129"/>
        <v>0</v>
      </c>
      <c r="H497" s="132">
        <f t="shared" si="130"/>
        <v>0</v>
      </c>
      <c r="I497" s="132">
        <f t="shared" si="131"/>
        <v>0</v>
      </c>
    </row>
    <row r="498" spans="1:9">
      <c r="A498" s="67">
        <v>217</v>
      </c>
      <c r="B498" s="74" t="s">
        <v>233</v>
      </c>
      <c r="C498" s="125" t="s">
        <v>365</v>
      </c>
      <c r="D498" s="73">
        <f>+D269</f>
        <v>0</v>
      </c>
      <c r="E498" s="132">
        <f>+F269</f>
        <v>1158.9144000000001</v>
      </c>
      <c r="F498" s="132">
        <f>+I269</f>
        <v>1560.5183999999999</v>
      </c>
      <c r="G498" s="132">
        <f t="shared" si="129"/>
        <v>0</v>
      </c>
      <c r="H498" s="132">
        <f t="shared" si="130"/>
        <v>0</v>
      </c>
      <c r="I498" s="132">
        <f t="shared" si="131"/>
        <v>0</v>
      </c>
    </row>
    <row r="499" spans="1:9">
      <c r="A499" s="67">
        <v>219</v>
      </c>
      <c r="B499" s="74" t="s">
        <v>234</v>
      </c>
      <c r="C499" s="125" t="s">
        <v>365</v>
      </c>
      <c r="D499" s="73">
        <f>+D271</f>
        <v>0</v>
      </c>
      <c r="E499" s="132">
        <f>+F271</f>
        <v>5679.8280000000004</v>
      </c>
      <c r="F499" s="132">
        <f>+I271</f>
        <v>10143.3696</v>
      </c>
      <c r="G499" s="132">
        <f t="shared" si="129"/>
        <v>0</v>
      </c>
      <c r="H499" s="132">
        <f t="shared" si="130"/>
        <v>0</v>
      </c>
      <c r="I499" s="132">
        <f t="shared" si="131"/>
        <v>0</v>
      </c>
    </row>
    <row r="500" spans="1:9">
      <c r="A500" s="67">
        <v>221</v>
      </c>
      <c r="B500" s="74" t="s">
        <v>235</v>
      </c>
      <c r="C500" s="125" t="s">
        <v>365</v>
      </c>
      <c r="D500" s="73">
        <f>+D273</f>
        <v>0</v>
      </c>
      <c r="E500" s="132">
        <f>+F273</f>
        <v>4417.6440000000002</v>
      </c>
      <c r="F500" s="132">
        <f>+I273</f>
        <v>8842.9375999999993</v>
      </c>
      <c r="G500" s="132">
        <f t="shared" si="129"/>
        <v>0</v>
      </c>
      <c r="H500" s="132">
        <f t="shared" si="130"/>
        <v>0</v>
      </c>
      <c r="I500" s="132">
        <f t="shared" si="131"/>
        <v>0</v>
      </c>
    </row>
    <row r="501" spans="1:9">
      <c r="A501" s="67">
        <v>223</v>
      </c>
      <c r="B501" s="74" t="s">
        <v>236</v>
      </c>
      <c r="C501" s="125" t="s">
        <v>365</v>
      </c>
      <c r="D501" s="73">
        <f>+D275</f>
        <v>0</v>
      </c>
      <c r="E501" s="132">
        <f>+F275</f>
        <v>4417.6440000000002</v>
      </c>
      <c r="F501" s="132">
        <f>+I275</f>
        <v>6502.16</v>
      </c>
      <c r="G501" s="132">
        <f t="shared" si="129"/>
        <v>0</v>
      </c>
      <c r="H501" s="132">
        <f t="shared" si="130"/>
        <v>0</v>
      </c>
      <c r="I501" s="132">
        <f t="shared" si="131"/>
        <v>0</v>
      </c>
    </row>
    <row r="502" spans="1:9">
      <c r="A502" s="67">
        <v>225</v>
      </c>
      <c r="B502" s="74" t="s">
        <v>237</v>
      </c>
      <c r="C502" s="125" t="s">
        <v>365</v>
      </c>
      <c r="D502" s="73">
        <f>+D277</f>
        <v>0</v>
      </c>
      <c r="E502" s="132">
        <f>+F277</f>
        <v>4416.8243999999995</v>
      </c>
      <c r="F502" s="132">
        <f>+I277</f>
        <v>7152.3760000000002</v>
      </c>
      <c r="G502" s="132">
        <f t="shared" si="129"/>
        <v>0</v>
      </c>
      <c r="H502" s="132">
        <f t="shared" si="130"/>
        <v>0</v>
      </c>
      <c r="I502" s="132">
        <f t="shared" si="131"/>
        <v>0</v>
      </c>
    </row>
    <row r="503" spans="1:9">
      <c r="A503" s="67">
        <v>227</v>
      </c>
      <c r="B503" s="74" t="s">
        <v>238</v>
      </c>
      <c r="C503" s="125" t="s">
        <v>365</v>
      </c>
      <c r="D503" s="73">
        <f>+D279</f>
        <v>0</v>
      </c>
      <c r="E503" s="132">
        <f>+F279</f>
        <v>3786.5519999999997</v>
      </c>
      <c r="F503" s="132">
        <f>+I279</f>
        <v>9753.24</v>
      </c>
      <c r="G503" s="132">
        <f t="shared" si="129"/>
        <v>0</v>
      </c>
      <c r="H503" s="132">
        <f t="shared" si="130"/>
        <v>0</v>
      </c>
      <c r="I503" s="132">
        <f t="shared" si="131"/>
        <v>0</v>
      </c>
    </row>
    <row r="504" spans="1:9">
      <c r="A504" s="67">
        <v>229</v>
      </c>
      <c r="B504" s="74" t="s">
        <v>239</v>
      </c>
      <c r="C504" s="125" t="s">
        <v>365</v>
      </c>
      <c r="D504" s="73">
        <f>+D281</f>
        <v>0</v>
      </c>
      <c r="E504" s="132">
        <f>+F281</f>
        <v>3156.2795999999998</v>
      </c>
      <c r="F504" s="132">
        <f>+I281</f>
        <v>8840.7520000000004</v>
      </c>
      <c r="G504" s="132">
        <f t="shared" si="129"/>
        <v>0</v>
      </c>
      <c r="H504" s="132">
        <f t="shared" si="130"/>
        <v>0</v>
      </c>
      <c r="I504" s="132">
        <f t="shared" si="131"/>
        <v>0</v>
      </c>
    </row>
    <row r="505" spans="1:9">
      <c r="A505" s="67">
        <v>230</v>
      </c>
      <c r="B505" s="74" t="s">
        <v>240</v>
      </c>
      <c r="C505" s="125" t="s">
        <v>365</v>
      </c>
      <c r="D505" s="73">
        <f>+D282</f>
        <v>0</v>
      </c>
      <c r="E505" s="132">
        <f>+F282</f>
        <v>4122.5879999999997</v>
      </c>
      <c r="F505" s="132">
        <f>+I282</f>
        <v>62420.735999999997</v>
      </c>
      <c r="G505" s="132">
        <f t="shared" si="129"/>
        <v>0</v>
      </c>
      <c r="H505" s="132">
        <f t="shared" si="130"/>
        <v>0</v>
      </c>
      <c r="I505" s="132">
        <f t="shared" si="131"/>
        <v>0</v>
      </c>
    </row>
    <row r="506" spans="1:9">
      <c r="A506" s="67">
        <v>232</v>
      </c>
      <c r="B506" s="74" t="s">
        <v>241</v>
      </c>
      <c r="C506" s="125" t="s">
        <v>365</v>
      </c>
      <c r="D506" s="73">
        <f>+D284</f>
        <v>0</v>
      </c>
      <c r="E506" s="132">
        <f>+F284</f>
        <v>8140.2672000000002</v>
      </c>
      <c r="F506" s="132">
        <f>+I284</f>
        <v>20806.912</v>
      </c>
      <c r="G506" s="132">
        <f t="shared" si="129"/>
        <v>0</v>
      </c>
      <c r="H506" s="132">
        <f t="shared" si="130"/>
        <v>0</v>
      </c>
      <c r="I506" s="132">
        <f t="shared" si="131"/>
        <v>0</v>
      </c>
    </row>
    <row r="507" spans="1:9">
      <c r="A507" s="67">
        <v>234</v>
      </c>
      <c r="B507" s="74" t="s">
        <v>242</v>
      </c>
      <c r="C507" s="125" t="s">
        <v>365</v>
      </c>
      <c r="D507" s="73">
        <f>+D286</f>
        <v>0</v>
      </c>
      <c r="E507" s="132">
        <f>+F286</f>
        <v>7043.6423999999997</v>
      </c>
      <c r="F507" s="132">
        <f>+I286</f>
        <v>247082.08</v>
      </c>
      <c r="G507" s="132">
        <f t="shared" si="129"/>
        <v>0</v>
      </c>
      <c r="H507" s="132">
        <f t="shared" si="130"/>
        <v>0</v>
      </c>
      <c r="I507" s="132">
        <f t="shared" si="131"/>
        <v>0</v>
      </c>
    </row>
    <row r="508" spans="1:9">
      <c r="A508" s="67">
        <v>236</v>
      </c>
      <c r="B508" s="74" t="s">
        <v>243</v>
      </c>
      <c r="C508" s="125" t="s">
        <v>365</v>
      </c>
      <c r="D508" s="73">
        <f>+D288</f>
        <v>0</v>
      </c>
      <c r="E508" s="132">
        <f>+F288</f>
        <v>3521.8211999999999</v>
      </c>
      <c r="F508" s="132">
        <f>+I288</f>
        <v>117038.88</v>
      </c>
      <c r="G508" s="132">
        <f t="shared" si="129"/>
        <v>0</v>
      </c>
      <c r="H508" s="132">
        <f t="shared" si="130"/>
        <v>0</v>
      </c>
      <c r="I508" s="132">
        <f t="shared" si="131"/>
        <v>0</v>
      </c>
    </row>
    <row r="509" spans="1:9">
      <c r="A509" s="67">
        <v>237</v>
      </c>
      <c r="B509" s="74" t="s">
        <v>244</v>
      </c>
      <c r="C509" s="125" t="s">
        <v>365</v>
      </c>
      <c r="D509" s="73">
        <f>+D289</f>
        <v>0</v>
      </c>
      <c r="E509" s="132">
        <f>+F289</f>
        <v>412.25880000000001</v>
      </c>
      <c r="F509" s="132">
        <f>+I289</f>
        <v>10403.456</v>
      </c>
      <c r="G509" s="132">
        <f t="shared" si="129"/>
        <v>0</v>
      </c>
      <c r="H509" s="132">
        <f t="shared" si="130"/>
        <v>0</v>
      </c>
      <c r="I509" s="132">
        <f t="shared" si="131"/>
        <v>0</v>
      </c>
    </row>
    <row r="510" spans="1:9">
      <c r="A510" s="67">
        <v>238</v>
      </c>
      <c r="B510" s="74" t="s">
        <v>245</v>
      </c>
      <c r="C510" s="125" t="s">
        <v>365</v>
      </c>
      <c r="D510" s="73">
        <f>+D290</f>
        <v>0</v>
      </c>
      <c r="E510" s="132">
        <f>+F290</f>
        <v>463.89359999999999</v>
      </c>
      <c r="F510" s="132">
        <f>+I290</f>
        <v>11053.672</v>
      </c>
      <c r="G510" s="132">
        <f t="shared" si="129"/>
        <v>0</v>
      </c>
      <c r="H510" s="132">
        <f t="shared" si="130"/>
        <v>0</v>
      </c>
      <c r="I510" s="132">
        <f t="shared" si="131"/>
        <v>0</v>
      </c>
    </row>
    <row r="511" spans="1:9">
      <c r="A511" s="67">
        <v>240</v>
      </c>
      <c r="B511" s="74" t="s">
        <v>246</v>
      </c>
      <c r="C511" s="125" t="s">
        <v>365</v>
      </c>
      <c r="D511" s="73">
        <f t="shared" ref="D511:D518" si="132">+D292</f>
        <v>0</v>
      </c>
      <c r="E511" s="132">
        <f t="shared" ref="E511:E518" si="133">+F292</f>
        <v>618.798</v>
      </c>
      <c r="F511" s="132">
        <f t="shared" ref="F511:F518" si="134">+I292</f>
        <v>19506.48</v>
      </c>
      <c r="G511" s="132">
        <f t="shared" si="129"/>
        <v>0</v>
      </c>
      <c r="H511" s="132">
        <f t="shared" si="130"/>
        <v>0</v>
      </c>
      <c r="I511" s="132">
        <f t="shared" si="131"/>
        <v>0</v>
      </c>
    </row>
    <row r="512" spans="1:9" ht="24">
      <c r="A512" s="67">
        <v>241</v>
      </c>
      <c r="B512" s="74" t="s">
        <v>247</v>
      </c>
      <c r="C512" s="125" t="s">
        <v>365</v>
      </c>
      <c r="D512" s="73">
        <f t="shared" si="132"/>
        <v>0</v>
      </c>
      <c r="E512" s="132">
        <f t="shared" si="133"/>
        <v>5665.8948</v>
      </c>
      <c r="F512" s="132">
        <f t="shared" si="134"/>
        <v>18577.599999999999</v>
      </c>
      <c r="G512" s="132">
        <f t="shared" si="129"/>
        <v>0</v>
      </c>
      <c r="H512" s="132">
        <f t="shared" si="130"/>
        <v>0</v>
      </c>
      <c r="I512" s="132">
        <f t="shared" si="131"/>
        <v>0</v>
      </c>
    </row>
    <row r="513" spans="1:9">
      <c r="A513" s="67">
        <v>242</v>
      </c>
      <c r="B513" s="74" t="s">
        <v>248</v>
      </c>
      <c r="C513" s="125" t="s">
        <v>365</v>
      </c>
      <c r="D513" s="73">
        <f t="shared" si="132"/>
        <v>0</v>
      </c>
      <c r="E513" s="132">
        <f t="shared" si="133"/>
        <v>320.46360000000004</v>
      </c>
      <c r="F513" s="132">
        <f t="shared" si="134"/>
        <v>13325.6032</v>
      </c>
      <c r="G513" s="132">
        <f t="shared" si="129"/>
        <v>0</v>
      </c>
      <c r="H513" s="132">
        <f t="shared" si="130"/>
        <v>0</v>
      </c>
      <c r="I513" s="132">
        <f t="shared" si="131"/>
        <v>0</v>
      </c>
    </row>
    <row r="514" spans="1:9">
      <c r="A514" s="67">
        <v>243</v>
      </c>
      <c r="B514" s="74" t="s">
        <v>249</v>
      </c>
      <c r="C514" s="125" t="s">
        <v>365</v>
      </c>
      <c r="D514" s="73">
        <f t="shared" si="132"/>
        <v>0</v>
      </c>
      <c r="E514" s="132">
        <f t="shared" si="133"/>
        <v>81.960000000000008</v>
      </c>
      <c r="F514" s="132">
        <f t="shared" si="134"/>
        <v>2860.9504000000002</v>
      </c>
      <c r="G514" s="132">
        <f t="shared" si="129"/>
        <v>0</v>
      </c>
      <c r="H514" s="132">
        <f t="shared" si="130"/>
        <v>0</v>
      </c>
      <c r="I514" s="132">
        <f t="shared" si="131"/>
        <v>0</v>
      </c>
    </row>
    <row r="515" spans="1:9">
      <c r="A515" s="67">
        <v>244</v>
      </c>
      <c r="B515" s="74" t="s">
        <v>250</v>
      </c>
      <c r="C515" s="125" t="s">
        <v>365</v>
      </c>
      <c r="D515" s="73">
        <f t="shared" si="132"/>
        <v>0</v>
      </c>
      <c r="E515" s="132">
        <f t="shared" si="133"/>
        <v>4820.8871999999992</v>
      </c>
      <c r="F515" s="132">
        <f t="shared" si="134"/>
        <v>25358.423999999999</v>
      </c>
      <c r="G515" s="132">
        <f t="shared" si="129"/>
        <v>0</v>
      </c>
      <c r="H515" s="132">
        <f t="shared" si="130"/>
        <v>0</v>
      </c>
      <c r="I515" s="132">
        <f t="shared" si="131"/>
        <v>0</v>
      </c>
    </row>
    <row r="516" spans="1:9">
      <c r="A516" s="67">
        <v>245</v>
      </c>
      <c r="B516" s="74" t="s">
        <v>251</v>
      </c>
      <c r="C516" s="125" t="s">
        <v>365</v>
      </c>
      <c r="D516" s="73">
        <f t="shared" si="132"/>
        <v>0</v>
      </c>
      <c r="E516" s="132">
        <f t="shared" si="133"/>
        <v>6310.92</v>
      </c>
      <c r="F516" s="132">
        <f t="shared" si="134"/>
        <v>17156.96</v>
      </c>
      <c r="G516" s="132">
        <f t="shared" si="129"/>
        <v>0</v>
      </c>
      <c r="H516" s="132">
        <f t="shared" si="130"/>
        <v>0</v>
      </c>
      <c r="I516" s="132">
        <f t="shared" si="131"/>
        <v>0</v>
      </c>
    </row>
    <row r="517" spans="1:9">
      <c r="A517" s="67">
        <v>246</v>
      </c>
      <c r="B517" s="74" t="s">
        <v>252</v>
      </c>
      <c r="C517" s="125" t="s">
        <v>365</v>
      </c>
      <c r="D517" s="73">
        <f t="shared" si="132"/>
        <v>0</v>
      </c>
      <c r="E517" s="132">
        <f t="shared" si="133"/>
        <v>3250.5335999999998</v>
      </c>
      <c r="F517" s="132">
        <f t="shared" si="134"/>
        <v>27959.288</v>
      </c>
      <c r="G517" s="132">
        <f t="shared" si="129"/>
        <v>0</v>
      </c>
      <c r="H517" s="132">
        <f t="shared" si="130"/>
        <v>0</v>
      </c>
      <c r="I517" s="132">
        <f t="shared" si="131"/>
        <v>0</v>
      </c>
    </row>
    <row r="518" spans="1:9">
      <c r="A518" s="67">
        <v>247</v>
      </c>
      <c r="B518" s="74" t="s">
        <v>253</v>
      </c>
      <c r="C518" s="125" t="s">
        <v>365</v>
      </c>
      <c r="D518" s="73">
        <f t="shared" si="132"/>
        <v>0</v>
      </c>
      <c r="E518" s="132">
        <f t="shared" si="133"/>
        <v>6310.92</v>
      </c>
      <c r="F518" s="132">
        <f t="shared" si="134"/>
        <v>29259.72</v>
      </c>
      <c r="G518" s="132">
        <f t="shared" si="129"/>
        <v>0</v>
      </c>
      <c r="H518" s="132">
        <f t="shared" si="130"/>
        <v>0</v>
      </c>
      <c r="I518" s="132">
        <f t="shared" si="131"/>
        <v>0</v>
      </c>
    </row>
    <row r="519" spans="1:9">
      <c r="A519" s="67">
        <v>249</v>
      </c>
      <c r="B519" s="74" t="s">
        <v>254</v>
      </c>
      <c r="C519" s="125" t="s">
        <v>365</v>
      </c>
      <c r="D519" s="73">
        <f>+D301</f>
        <v>8.5</v>
      </c>
      <c r="E519" s="132">
        <f>+F301</f>
        <v>2716.9740000000002</v>
      </c>
      <c r="F519" s="132">
        <f>+I301</f>
        <v>5420.2879999999996</v>
      </c>
      <c r="G519" s="132">
        <f t="shared" si="129"/>
        <v>23094.279000000002</v>
      </c>
      <c r="H519" s="132">
        <f t="shared" si="130"/>
        <v>46072.447999999997</v>
      </c>
      <c r="I519" s="132">
        <f t="shared" si="131"/>
        <v>-22978.168999999994</v>
      </c>
    </row>
    <row r="520" spans="1:9">
      <c r="A520" s="67">
        <v>250</v>
      </c>
      <c r="B520" s="74" t="s">
        <v>255</v>
      </c>
      <c r="C520" s="125" t="s">
        <v>365</v>
      </c>
      <c r="D520" s="73">
        <f>+D302</f>
        <v>0</v>
      </c>
      <c r="E520" s="132">
        <f>+F302</f>
        <v>120.4812</v>
      </c>
      <c r="F520" s="132">
        <f>+I302</f>
        <v>23058.079999999998</v>
      </c>
      <c r="G520" s="132">
        <f t="shared" si="129"/>
        <v>0</v>
      </c>
      <c r="H520" s="132">
        <f t="shared" si="130"/>
        <v>0</v>
      </c>
      <c r="I520" s="132">
        <f t="shared" si="131"/>
        <v>0</v>
      </c>
    </row>
    <row r="521" spans="1:9">
      <c r="A521" s="67">
        <v>251</v>
      </c>
      <c r="B521" s="74" t="s">
        <v>256</v>
      </c>
      <c r="C521" s="125" t="s">
        <v>365</v>
      </c>
      <c r="D521" s="73">
        <f>+D303</f>
        <v>0</v>
      </c>
      <c r="E521" s="132">
        <f>+F303</f>
        <v>135.23400000000001</v>
      </c>
      <c r="F521" s="132">
        <f>+I303</f>
        <v>3387.68</v>
      </c>
      <c r="G521" s="132">
        <f t="shared" si="129"/>
        <v>0</v>
      </c>
      <c r="H521" s="132">
        <f t="shared" si="130"/>
        <v>0</v>
      </c>
      <c r="I521" s="132">
        <f t="shared" si="131"/>
        <v>0</v>
      </c>
    </row>
    <row r="522" spans="1:9">
      <c r="A522" s="67">
        <v>253</v>
      </c>
      <c r="B522" s="74" t="s">
        <v>239</v>
      </c>
      <c r="C522" s="125" t="s">
        <v>365</v>
      </c>
      <c r="D522" s="73">
        <f>+D305</f>
        <v>0</v>
      </c>
      <c r="E522" s="132">
        <f>+F305</f>
        <v>513.06960000000004</v>
      </c>
      <c r="F522" s="132">
        <f>+I305</f>
        <v>9594.7839999999997</v>
      </c>
      <c r="G522" s="132">
        <f t="shared" si="129"/>
        <v>0</v>
      </c>
      <c r="H522" s="132">
        <f t="shared" si="130"/>
        <v>0</v>
      </c>
      <c r="I522" s="132">
        <f t="shared" si="131"/>
        <v>0</v>
      </c>
    </row>
    <row r="523" spans="1:9">
      <c r="A523" s="67">
        <v>255</v>
      </c>
      <c r="B523" s="74" t="s">
        <v>257</v>
      </c>
      <c r="C523" s="125" t="s">
        <v>365</v>
      </c>
      <c r="D523" s="73">
        <f>+D307</f>
        <v>0</v>
      </c>
      <c r="E523" s="132">
        <f>+F307</f>
        <v>395.04719999999998</v>
      </c>
      <c r="F523" s="132">
        <f>+I307</f>
        <v>28609.504000000001</v>
      </c>
      <c r="G523" s="132">
        <f t="shared" si="129"/>
        <v>0</v>
      </c>
      <c r="H523" s="132">
        <f t="shared" si="130"/>
        <v>0</v>
      </c>
      <c r="I523" s="132">
        <f t="shared" si="131"/>
        <v>0</v>
      </c>
    </row>
    <row r="524" spans="1:9">
      <c r="A524" s="67">
        <v>257</v>
      </c>
      <c r="B524" s="74" t="s">
        <v>258</v>
      </c>
      <c r="C524" s="125" t="s">
        <v>365</v>
      </c>
      <c r="D524" s="73">
        <f>+D309</f>
        <v>0</v>
      </c>
      <c r="E524" s="132">
        <f>+F309</f>
        <v>4705.3235999999997</v>
      </c>
      <c r="F524" s="132">
        <f>+I309</f>
        <v>195064.8</v>
      </c>
      <c r="G524" s="132">
        <f t="shared" si="129"/>
        <v>0</v>
      </c>
      <c r="H524" s="132">
        <f t="shared" si="130"/>
        <v>0</v>
      </c>
      <c r="I524" s="132">
        <f t="shared" si="131"/>
        <v>0</v>
      </c>
    </row>
    <row r="525" spans="1:9">
      <c r="A525" s="67">
        <v>259</v>
      </c>
      <c r="B525" s="74" t="s">
        <v>242</v>
      </c>
      <c r="C525" s="125" t="s">
        <v>365</v>
      </c>
      <c r="D525" s="73">
        <f>+D311</f>
        <v>0</v>
      </c>
      <c r="E525" s="132">
        <f>+F311</f>
        <v>8864.7936000000009</v>
      </c>
      <c r="F525" s="132">
        <f>+I311</f>
        <v>247082.08</v>
      </c>
      <c r="G525" s="132">
        <f t="shared" si="129"/>
        <v>0</v>
      </c>
      <c r="H525" s="132">
        <f t="shared" si="130"/>
        <v>0</v>
      </c>
      <c r="I525" s="132">
        <f t="shared" si="131"/>
        <v>0</v>
      </c>
    </row>
    <row r="526" spans="1:9">
      <c r="A526" s="67">
        <v>261</v>
      </c>
      <c r="B526" s="74" t="s">
        <v>243</v>
      </c>
      <c r="C526" s="125" t="s">
        <v>365</v>
      </c>
      <c r="D526" s="73">
        <f>+D313</f>
        <v>0</v>
      </c>
      <c r="E526" s="132">
        <f>+F313</f>
        <v>4432.3968000000004</v>
      </c>
      <c r="F526" s="132">
        <f>+I313</f>
        <v>114438.016</v>
      </c>
      <c r="G526" s="132">
        <f t="shared" si="129"/>
        <v>0</v>
      </c>
      <c r="H526" s="132">
        <f t="shared" si="130"/>
        <v>0</v>
      </c>
      <c r="I526" s="132">
        <f t="shared" si="131"/>
        <v>0</v>
      </c>
    </row>
    <row r="527" spans="1:9">
      <c r="A527" s="67">
        <v>263</v>
      </c>
      <c r="B527" s="74" t="s">
        <v>259</v>
      </c>
      <c r="C527" s="125" t="s">
        <v>365</v>
      </c>
      <c r="D527" s="73">
        <f>+D315</f>
        <v>0</v>
      </c>
      <c r="E527" s="132">
        <f>+F315</f>
        <v>276.20519999999999</v>
      </c>
      <c r="F527" s="132">
        <f>+I315</f>
        <v>7267.12</v>
      </c>
      <c r="G527" s="132">
        <f t="shared" si="129"/>
        <v>0</v>
      </c>
      <c r="H527" s="132">
        <f t="shared" si="130"/>
        <v>0</v>
      </c>
      <c r="I527" s="132">
        <f t="shared" si="131"/>
        <v>0</v>
      </c>
    </row>
    <row r="528" spans="1:9">
      <c r="A528" s="67">
        <v>265</v>
      </c>
      <c r="B528" s="74" t="s">
        <v>260</v>
      </c>
      <c r="C528" s="125" t="s">
        <v>365</v>
      </c>
      <c r="D528" s="73">
        <f>+D317</f>
        <v>0</v>
      </c>
      <c r="E528" s="132">
        <f>+F317</f>
        <v>440.12520000000006</v>
      </c>
      <c r="F528" s="132">
        <f>+I317</f>
        <v>32510.799999999999</v>
      </c>
      <c r="G528" s="132">
        <f t="shared" si="129"/>
        <v>0</v>
      </c>
      <c r="H528" s="132">
        <f t="shared" si="130"/>
        <v>0</v>
      </c>
      <c r="I528" s="132">
        <f t="shared" si="131"/>
        <v>0</v>
      </c>
    </row>
    <row r="529" spans="1:9">
      <c r="A529" s="67">
        <v>267</v>
      </c>
      <c r="B529" s="74" t="s">
        <v>261</v>
      </c>
      <c r="C529" s="125" t="s">
        <v>365</v>
      </c>
      <c r="D529" s="73">
        <f>+D319</f>
        <v>0</v>
      </c>
      <c r="E529" s="132">
        <f>+F319</f>
        <v>790.09439999999995</v>
      </c>
      <c r="F529" s="132">
        <f>+I319</f>
        <v>45515.12</v>
      </c>
      <c r="G529" s="132">
        <f t="shared" si="129"/>
        <v>0</v>
      </c>
      <c r="H529" s="132">
        <f t="shared" si="130"/>
        <v>0</v>
      </c>
      <c r="I529" s="132">
        <f t="shared" si="131"/>
        <v>0</v>
      </c>
    </row>
    <row r="530" spans="1:9">
      <c r="A530" s="67">
        <v>269</v>
      </c>
      <c r="B530" s="74" t="s">
        <v>262</v>
      </c>
      <c r="C530" s="125" t="s">
        <v>365</v>
      </c>
      <c r="D530" s="73">
        <f>+D321</f>
        <v>0</v>
      </c>
      <c r="E530" s="132">
        <f>+F321</f>
        <v>213.096</v>
      </c>
      <c r="F530" s="132">
        <f>+I321</f>
        <v>9627.5679999999993</v>
      </c>
      <c r="G530" s="132">
        <f t="shared" si="129"/>
        <v>0</v>
      </c>
      <c r="H530" s="132">
        <f t="shared" si="130"/>
        <v>0</v>
      </c>
      <c r="I530" s="132">
        <f t="shared" si="131"/>
        <v>0</v>
      </c>
    </row>
    <row r="531" spans="1:9">
      <c r="A531" s="67">
        <v>271</v>
      </c>
      <c r="B531" s="74" t="s">
        <v>263</v>
      </c>
      <c r="C531" s="125" t="s">
        <v>365</v>
      </c>
      <c r="D531" s="73">
        <f>+D423</f>
        <v>0.5</v>
      </c>
      <c r="E531" s="132">
        <f>+F323</f>
        <v>164.7396</v>
      </c>
      <c r="F531" s="132">
        <f>+I323</f>
        <v>16840.594399999998</v>
      </c>
      <c r="G531" s="132">
        <f t="shared" si="129"/>
        <v>82.369799999999998</v>
      </c>
      <c r="H531" s="132">
        <f t="shared" si="130"/>
        <v>8420.2971999999991</v>
      </c>
      <c r="I531" s="132">
        <f t="shared" si="131"/>
        <v>-8337.9273999999987</v>
      </c>
    </row>
    <row r="532" spans="1:9">
      <c r="A532" s="67">
        <v>273</v>
      </c>
      <c r="B532" s="74" t="s">
        <v>264</v>
      </c>
      <c r="C532" s="125" t="s">
        <v>365</v>
      </c>
      <c r="D532" s="73">
        <f>+D425</f>
        <v>0</v>
      </c>
      <c r="E532" s="132">
        <f>+F325</f>
        <v>567.16319999999996</v>
      </c>
      <c r="F532" s="132">
        <f>+I325</f>
        <v>17555.831999999999</v>
      </c>
      <c r="G532" s="132">
        <f t="shared" si="129"/>
        <v>0</v>
      </c>
      <c r="H532" s="132">
        <f t="shared" si="130"/>
        <v>0</v>
      </c>
      <c r="I532" s="132">
        <f t="shared" si="131"/>
        <v>0</v>
      </c>
    </row>
    <row r="533" spans="1:9">
      <c r="A533" s="67">
        <v>275</v>
      </c>
      <c r="B533" s="74" t="s">
        <v>265</v>
      </c>
      <c r="C533" s="125" t="s">
        <v>365</v>
      </c>
      <c r="D533" s="73">
        <f>+D427</f>
        <v>0</v>
      </c>
      <c r="E533" s="132">
        <f>+F327</f>
        <v>962.21040000000005</v>
      </c>
      <c r="F533" s="132">
        <f>+I327</f>
        <v>18856.263999999999</v>
      </c>
      <c r="G533" s="132">
        <f t="shared" si="129"/>
        <v>0</v>
      </c>
      <c r="H533" s="132">
        <f t="shared" si="130"/>
        <v>0</v>
      </c>
      <c r="I533" s="132">
        <f t="shared" si="131"/>
        <v>0</v>
      </c>
    </row>
    <row r="534" spans="1:9">
      <c r="A534" s="67">
        <v>277</v>
      </c>
      <c r="B534" s="74" t="s">
        <v>266</v>
      </c>
      <c r="C534" s="125" t="s">
        <v>365</v>
      </c>
      <c r="D534" s="73">
        <f>+D329</f>
        <v>0</v>
      </c>
      <c r="E534" s="132">
        <f>+F329</f>
        <v>1236.7764</v>
      </c>
      <c r="F534" s="132">
        <f>+I329</f>
        <v>29259.72</v>
      </c>
      <c r="G534" s="132">
        <f t="shared" si="129"/>
        <v>0</v>
      </c>
      <c r="H534" s="132">
        <f t="shared" si="130"/>
        <v>0</v>
      </c>
      <c r="I534" s="132">
        <f t="shared" si="131"/>
        <v>0</v>
      </c>
    </row>
    <row r="535" spans="1:9">
      <c r="A535" s="67">
        <v>279</v>
      </c>
      <c r="B535" s="74" t="s">
        <v>267</v>
      </c>
      <c r="C535" s="125" t="s">
        <v>365</v>
      </c>
      <c r="D535" s="73">
        <f>+D331</f>
        <v>0</v>
      </c>
      <c r="E535" s="132">
        <f>+F331</f>
        <v>962.21040000000005</v>
      </c>
      <c r="F535" s="132">
        <f>+I331</f>
        <v>50066.631999999998</v>
      </c>
      <c r="G535" s="132">
        <f t="shared" si="129"/>
        <v>0</v>
      </c>
      <c r="H535" s="132">
        <f t="shared" si="130"/>
        <v>0</v>
      </c>
      <c r="I535" s="132">
        <f t="shared" si="131"/>
        <v>0</v>
      </c>
    </row>
    <row r="536" spans="1:9">
      <c r="A536" s="67">
        <v>280</v>
      </c>
      <c r="B536" s="74" t="s">
        <v>268</v>
      </c>
      <c r="C536" s="125" t="s">
        <v>365</v>
      </c>
      <c r="D536" s="73">
        <f>+D332</f>
        <v>0</v>
      </c>
      <c r="E536" s="132">
        <f>+F332</f>
        <v>1645.7568000000001</v>
      </c>
      <c r="F536" s="132">
        <f>+I332</f>
        <v>43602.720000000001</v>
      </c>
      <c r="G536" s="132">
        <f t="shared" si="129"/>
        <v>0</v>
      </c>
      <c r="H536" s="132">
        <f t="shared" si="130"/>
        <v>0</v>
      </c>
      <c r="I536" s="132">
        <f t="shared" si="131"/>
        <v>0</v>
      </c>
    </row>
    <row r="537" spans="1:9">
      <c r="A537" s="67">
        <v>282</v>
      </c>
      <c r="B537" s="74" t="s">
        <v>269</v>
      </c>
      <c r="C537" s="125" t="s">
        <v>365</v>
      </c>
      <c r="D537" s="73">
        <f>+D334</f>
        <v>0</v>
      </c>
      <c r="E537" s="132">
        <f>+F334</f>
        <v>8156.6592000000001</v>
      </c>
      <c r="F537" s="132">
        <f>+I334</f>
        <v>311905.88319999998</v>
      </c>
      <c r="G537" s="132">
        <f t="shared" si="129"/>
        <v>0</v>
      </c>
      <c r="H537" s="132">
        <f t="shared" si="130"/>
        <v>0</v>
      </c>
      <c r="I537" s="132">
        <f t="shared" si="131"/>
        <v>0</v>
      </c>
    </row>
    <row r="538" spans="1:9">
      <c r="A538" s="67">
        <v>284</v>
      </c>
      <c r="B538" s="74" t="s">
        <v>270</v>
      </c>
      <c r="C538" s="125" t="s">
        <v>365</v>
      </c>
      <c r="D538" s="73">
        <f>+D336</f>
        <v>0</v>
      </c>
      <c r="E538" s="132">
        <f>+F336</f>
        <v>8700.8736000000008</v>
      </c>
      <c r="F538" s="132">
        <f>+I336</f>
        <v>329479.2</v>
      </c>
      <c r="G538" s="132">
        <f t="shared" si="129"/>
        <v>0</v>
      </c>
      <c r="H538" s="132">
        <f t="shared" si="130"/>
        <v>0</v>
      </c>
      <c r="I538" s="132">
        <f t="shared" si="131"/>
        <v>0</v>
      </c>
    </row>
    <row r="539" spans="1:9">
      <c r="A539" s="67">
        <v>286</v>
      </c>
      <c r="B539" s="74" t="s">
        <v>271</v>
      </c>
      <c r="C539" s="125" t="s">
        <v>365</v>
      </c>
      <c r="D539" s="73">
        <f>+D338</f>
        <v>0</v>
      </c>
      <c r="E539" s="132">
        <f>+F338</f>
        <v>17832.037199999999</v>
      </c>
      <c r="F539" s="132">
        <f>+I338</f>
        <v>518872.36800000002</v>
      </c>
      <c r="G539" s="132">
        <f t="shared" si="129"/>
        <v>0</v>
      </c>
      <c r="H539" s="132">
        <f t="shared" si="130"/>
        <v>0</v>
      </c>
      <c r="I539" s="132">
        <f t="shared" si="131"/>
        <v>0</v>
      </c>
    </row>
    <row r="540" spans="1:9">
      <c r="A540" s="67">
        <v>288</v>
      </c>
      <c r="B540" s="74" t="s">
        <v>272</v>
      </c>
      <c r="C540" s="125" t="s">
        <v>365</v>
      </c>
      <c r="D540" s="73">
        <f>+D340</f>
        <v>0</v>
      </c>
      <c r="E540" s="132">
        <f>+F340</f>
        <v>16980.4728</v>
      </c>
      <c r="F540" s="132">
        <f>+I340</f>
        <v>429142.56</v>
      </c>
      <c r="G540" s="132">
        <f t="shared" si="129"/>
        <v>0</v>
      </c>
      <c r="H540" s="132">
        <f t="shared" si="130"/>
        <v>0</v>
      </c>
      <c r="I540" s="132">
        <f t="shared" si="131"/>
        <v>0</v>
      </c>
    </row>
    <row r="541" spans="1:9">
      <c r="A541" s="67">
        <v>290</v>
      </c>
      <c r="B541" s="74" t="s">
        <v>273</v>
      </c>
      <c r="C541" s="125" t="s">
        <v>365</v>
      </c>
      <c r="D541" s="73">
        <f>+D342</f>
        <v>0</v>
      </c>
      <c r="E541" s="132">
        <f>+F342</f>
        <v>1944.0911999999998</v>
      </c>
      <c r="F541" s="132">
        <f>+I342</f>
        <v>65458.720000000001</v>
      </c>
      <c r="G541" s="132">
        <f t="shared" si="129"/>
        <v>0</v>
      </c>
      <c r="H541" s="132">
        <f t="shared" si="130"/>
        <v>0</v>
      </c>
      <c r="I541" s="132">
        <f t="shared" si="131"/>
        <v>0</v>
      </c>
    </row>
    <row r="542" spans="1:9">
      <c r="A542" s="67">
        <v>292</v>
      </c>
      <c r="B542" s="74" t="s">
        <v>274</v>
      </c>
      <c r="C542" s="125" t="s">
        <v>365</v>
      </c>
      <c r="D542" s="73">
        <f>+D344</f>
        <v>0</v>
      </c>
      <c r="E542" s="132">
        <f>+F344</f>
        <v>4604.5128000000004</v>
      </c>
      <c r="F542" s="132">
        <f>+I344</f>
        <v>230471.52</v>
      </c>
      <c r="G542" s="132">
        <f t="shared" si="129"/>
        <v>0</v>
      </c>
      <c r="H542" s="132">
        <f t="shared" si="130"/>
        <v>0</v>
      </c>
      <c r="I542" s="132">
        <f t="shared" si="131"/>
        <v>0</v>
      </c>
    </row>
    <row r="543" spans="1:9">
      <c r="A543" s="67">
        <v>294</v>
      </c>
      <c r="B543" s="74" t="s">
        <v>275</v>
      </c>
      <c r="C543" s="125" t="s">
        <v>365</v>
      </c>
      <c r="D543" s="73">
        <f>+D346</f>
        <v>0</v>
      </c>
      <c r="E543" s="132">
        <f>+F346</f>
        <v>8985.2747999999992</v>
      </c>
      <c r="F543" s="132">
        <f>+I346</f>
        <v>284018.71999999997</v>
      </c>
      <c r="G543" s="132">
        <f t="shared" si="129"/>
        <v>0</v>
      </c>
      <c r="H543" s="132">
        <f t="shared" si="130"/>
        <v>0</v>
      </c>
      <c r="I543" s="132">
        <f t="shared" si="131"/>
        <v>0</v>
      </c>
    </row>
    <row r="544" spans="1:9">
      <c r="A544" s="67">
        <v>296</v>
      </c>
      <c r="B544" s="74" t="s">
        <v>276</v>
      </c>
      <c r="C544" s="125" t="s">
        <v>365</v>
      </c>
      <c r="D544" s="73">
        <f>+D348</f>
        <v>0</v>
      </c>
      <c r="E544" s="132">
        <f>+F348</f>
        <v>14598.715200000001</v>
      </c>
      <c r="F544" s="132">
        <f>+I348</f>
        <v>379092.32</v>
      </c>
      <c r="G544" s="132">
        <f t="shared" si="129"/>
        <v>0</v>
      </c>
      <c r="H544" s="132">
        <f t="shared" si="130"/>
        <v>0</v>
      </c>
      <c r="I544" s="132">
        <f t="shared" si="131"/>
        <v>0</v>
      </c>
    </row>
    <row r="545" spans="1:9">
      <c r="A545" s="67">
        <v>298</v>
      </c>
      <c r="B545" s="74" t="s">
        <v>277</v>
      </c>
      <c r="C545" s="125" t="s">
        <v>365</v>
      </c>
      <c r="D545" s="73">
        <f>+D350</f>
        <v>0</v>
      </c>
      <c r="E545" s="132">
        <f>+F350</f>
        <v>15053.593200000001</v>
      </c>
      <c r="F545" s="132">
        <f>+I350</f>
        <v>573610.72</v>
      </c>
      <c r="G545" s="132">
        <f t="shared" si="129"/>
        <v>0</v>
      </c>
      <c r="H545" s="132">
        <f t="shared" si="130"/>
        <v>0</v>
      </c>
      <c r="I545" s="132">
        <f t="shared" si="131"/>
        <v>0</v>
      </c>
    </row>
    <row r="546" spans="1:9">
      <c r="A546" s="67">
        <v>300</v>
      </c>
      <c r="B546" s="74" t="s">
        <v>278</v>
      </c>
      <c r="C546" s="125" t="s">
        <v>365</v>
      </c>
      <c r="D546" s="73">
        <f>+D352</f>
        <v>0</v>
      </c>
      <c r="E546" s="132">
        <f>+F352</f>
        <v>3183.3263999999999</v>
      </c>
      <c r="F546" s="132">
        <f>+I352</f>
        <v>39012.959999999999</v>
      </c>
      <c r="G546" s="132">
        <f t="shared" si="129"/>
        <v>0</v>
      </c>
      <c r="H546" s="132">
        <f t="shared" si="130"/>
        <v>0</v>
      </c>
      <c r="I546" s="132">
        <f t="shared" si="131"/>
        <v>0</v>
      </c>
    </row>
    <row r="547" spans="1:9">
      <c r="A547" s="67">
        <v>302</v>
      </c>
      <c r="B547" s="74" t="s">
        <v>279</v>
      </c>
      <c r="C547" s="125" t="s">
        <v>365</v>
      </c>
      <c r="D547" s="73">
        <f>+D354</f>
        <v>1</v>
      </c>
      <c r="E547" s="132">
        <f>+F354</f>
        <v>4319.2919999999995</v>
      </c>
      <c r="F547" s="132">
        <f>+I354</f>
        <v>58519.44</v>
      </c>
      <c r="G547" s="132">
        <f t="shared" si="129"/>
        <v>4319.2919999999995</v>
      </c>
      <c r="H547" s="132">
        <f t="shared" si="130"/>
        <v>58519.44</v>
      </c>
      <c r="I547" s="132">
        <f t="shared" si="131"/>
        <v>-54200.148000000001</v>
      </c>
    </row>
    <row r="548" spans="1:9">
      <c r="A548" s="67">
        <v>304</v>
      </c>
      <c r="B548" s="74" t="s">
        <v>280</v>
      </c>
      <c r="C548" s="125" t="s">
        <v>365</v>
      </c>
      <c r="D548" s="73">
        <f t="shared" ref="D548:D579" si="135">+D356</f>
        <v>0</v>
      </c>
      <c r="E548" s="132">
        <f t="shared" ref="E548:E579" si="136">+F356</f>
        <v>6590.4035999999996</v>
      </c>
      <c r="F548" s="132">
        <f t="shared" ref="F548:F579" si="137">+I356</f>
        <v>97532.4</v>
      </c>
      <c r="G548" s="132">
        <f t="shared" si="129"/>
        <v>0</v>
      </c>
      <c r="H548" s="132">
        <f t="shared" si="130"/>
        <v>0</v>
      </c>
      <c r="I548" s="132">
        <f t="shared" si="131"/>
        <v>0</v>
      </c>
    </row>
    <row r="549" spans="1:9">
      <c r="A549" s="67">
        <v>305</v>
      </c>
      <c r="B549" s="74" t="s">
        <v>281</v>
      </c>
      <c r="C549" s="125" t="s">
        <v>365</v>
      </c>
      <c r="D549" s="73">
        <f t="shared" si="135"/>
        <v>0</v>
      </c>
      <c r="E549" s="132">
        <f t="shared" si="136"/>
        <v>993.35519999999997</v>
      </c>
      <c r="F549" s="132">
        <f t="shared" si="137"/>
        <v>41307.839999999997</v>
      </c>
      <c r="G549" s="132">
        <f t="shared" si="129"/>
        <v>0</v>
      </c>
      <c r="H549" s="132">
        <f t="shared" si="130"/>
        <v>0</v>
      </c>
      <c r="I549" s="132">
        <f t="shared" si="131"/>
        <v>0</v>
      </c>
    </row>
    <row r="550" spans="1:9">
      <c r="A550" s="67">
        <v>306</v>
      </c>
      <c r="B550" s="74" t="s">
        <v>282</v>
      </c>
      <c r="C550" s="125" t="s">
        <v>365</v>
      </c>
      <c r="D550" s="73">
        <f t="shared" si="135"/>
        <v>0</v>
      </c>
      <c r="E550" s="132">
        <f t="shared" si="136"/>
        <v>993.35519999999997</v>
      </c>
      <c r="F550" s="132">
        <f t="shared" si="137"/>
        <v>41307.839999999997</v>
      </c>
      <c r="G550" s="132">
        <f t="shared" si="129"/>
        <v>0</v>
      </c>
      <c r="H550" s="132">
        <f t="shared" si="130"/>
        <v>0</v>
      </c>
      <c r="I550" s="132">
        <f t="shared" si="131"/>
        <v>0</v>
      </c>
    </row>
    <row r="551" spans="1:9">
      <c r="A551" s="67">
        <v>307</v>
      </c>
      <c r="B551" s="74" t="s">
        <v>283</v>
      </c>
      <c r="C551" s="125" t="s">
        <v>365</v>
      </c>
      <c r="D551" s="73">
        <f t="shared" si="135"/>
        <v>0</v>
      </c>
      <c r="E551" s="132">
        <f t="shared" si="136"/>
        <v>993.35519999999997</v>
      </c>
      <c r="F551" s="132">
        <f t="shared" si="137"/>
        <v>41307.839999999997</v>
      </c>
      <c r="G551" s="132">
        <f t="shared" si="129"/>
        <v>0</v>
      </c>
      <c r="H551" s="132">
        <f t="shared" si="130"/>
        <v>0</v>
      </c>
      <c r="I551" s="132">
        <f t="shared" si="131"/>
        <v>0</v>
      </c>
    </row>
    <row r="552" spans="1:9">
      <c r="A552" s="67">
        <v>308</v>
      </c>
      <c r="B552" s="74" t="s">
        <v>284</v>
      </c>
      <c r="C552" s="125" t="s">
        <v>365</v>
      </c>
      <c r="D552" s="73">
        <f t="shared" si="135"/>
        <v>0</v>
      </c>
      <c r="E552" s="132">
        <f t="shared" si="136"/>
        <v>993.35519999999997</v>
      </c>
      <c r="F552" s="132">
        <f t="shared" si="137"/>
        <v>41307.839999999997</v>
      </c>
      <c r="G552" s="132">
        <f t="shared" si="129"/>
        <v>0</v>
      </c>
      <c r="H552" s="132">
        <f t="shared" si="130"/>
        <v>0</v>
      </c>
      <c r="I552" s="132">
        <f t="shared" si="131"/>
        <v>0</v>
      </c>
    </row>
    <row r="553" spans="1:9">
      <c r="A553" s="67">
        <v>309</v>
      </c>
      <c r="B553" s="74" t="s">
        <v>285</v>
      </c>
      <c r="C553" s="125" t="s">
        <v>365</v>
      </c>
      <c r="D553" s="73">
        <f t="shared" si="135"/>
        <v>0</v>
      </c>
      <c r="E553" s="132">
        <f t="shared" si="136"/>
        <v>1241.694</v>
      </c>
      <c r="F553" s="132">
        <f t="shared" si="137"/>
        <v>89467.535999999993</v>
      </c>
      <c r="G553" s="132">
        <f t="shared" si="129"/>
        <v>0</v>
      </c>
      <c r="H553" s="132">
        <f t="shared" si="130"/>
        <v>0</v>
      </c>
      <c r="I553" s="132">
        <f t="shared" si="131"/>
        <v>0</v>
      </c>
    </row>
    <row r="554" spans="1:9">
      <c r="A554" s="67">
        <v>310</v>
      </c>
      <c r="B554" s="74" t="s">
        <v>286</v>
      </c>
      <c r="C554" s="125" t="s">
        <v>365</v>
      </c>
      <c r="D554" s="73">
        <f t="shared" si="135"/>
        <v>0</v>
      </c>
      <c r="E554" s="132">
        <f t="shared" si="136"/>
        <v>1241.694</v>
      </c>
      <c r="F554" s="132">
        <f t="shared" si="137"/>
        <v>89467.535999999993</v>
      </c>
      <c r="G554" s="132">
        <f t="shared" si="129"/>
        <v>0</v>
      </c>
      <c r="H554" s="132">
        <f t="shared" si="130"/>
        <v>0</v>
      </c>
      <c r="I554" s="132">
        <f t="shared" si="131"/>
        <v>0</v>
      </c>
    </row>
    <row r="555" spans="1:9">
      <c r="A555" s="67">
        <v>311</v>
      </c>
      <c r="B555" s="74" t="s">
        <v>287</v>
      </c>
      <c r="C555" s="125" t="s">
        <v>365</v>
      </c>
      <c r="D555" s="73">
        <f t="shared" si="135"/>
        <v>0</v>
      </c>
      <c r="E555" s="132">
        <f t="shared" si="136"/>
        <v>1241.694</v>
      </c>
      <c r="F555" s="132">
        <f t="shared" si="137"/>
        <v>89467.535999999993</v>
      </c>
      <c r="G555" s="132">
        <f t="shared" si="129"/>
        <v>0</v>
      </c>
      <c r="H555" s="132">
        <f t="shared" si="130"/>
        <v>0</v>
      </c>
      <c r="I555" s="132">
        <f t="shared" si="131"/>
        <v>0</v>
      </c>
    </row>
    <row r="556" spans="1:9">
      <c r="A556" s="67">
        <v>312</v>
      </c>
      <c r="B556" s="74" t="s">
        <v>288</v>
      </c>
      <c r="C556" s="125" t="s">
        <v>365</v>
      </c>
      <c r="D556" s="73">
        <f t="shared" si="135"/>
        <v>0</v>
      </c>
      <c r="E556" s="132">
        <f t="shared" si="136"/>
        <v>1241.694</v>
      </c>
      <c r="F556" s="132">
        <f t="shared" si="137"/>
        <v>89467.535999999993</v>
      </c>
      <c r="G556" s="132">
        <f t="shared" si="129"/>
        <v>0</v>
      </c>
      <c r="H556" s="132">
        <f t="shared" si="130"/>
        <v>0</v>
      </c>
      <c r="I556" s="132">
        <f t="shared" si="131"/>
        <v>0</v>
      </c>
    </row>
    <row r="557" spans="1:9">
      <c r="A557" s="67">
        <v>313</v>
      </c>
      <c r="B557" s="74" t="s">
        <v>289</v>
      </c>
      <c r="C557" s="125" t="s">
        <v>365</v>
      </c>
      <c r="D557" s="73">
        <f t="shared" si="135"/>
        <v>0</v>
      </c>
      <c r="E557" s="132">
        <f t="shared" si="136"/>
        <v>1862.1311999999998</v>
      </c>
      <c r="F557" s="132">
        <f t="shared" si="137"/>
        <v>76878.48</v>
      </c>
      <c r="G557" s="132">
        <f t="shared" si="129"/>
        <v>0</v>
      </c>
      <c r="H557" s="132">
        <f t="shared" si="130"/>
        <v>0</v>
      </c>
      <c r="I557" s="132">
        <f t="shared" si="131"/>
        <v>0</v>
      </c>
    </row>
    <row r="558" spans="1:9">
      <c r="A558" s="67">
        <v>314</v>
      </c>
      <c r="B558" s="74" t="s">
        <v>290</v>
      </c>
      <c r="C558" s="125" t="s">
        <v>365</v>
      </c>
      <c r="D558" s="73">
        <f t="shared" si="135"/>
        <v>0</v>
      </c>
      <c r="E558" s="132">
        <f t="shared" si="136"/>
        <v>1862.1311999999998</v>
      </c>
      <c r="F558" s="132">
        <f t="shared" si="137"/>
        <v>76878.48</v>
      </c>
      <c r="G558" s="132">
        <f t="shared" ref="G558:G621" si="138">+D558*E558</f>
        <v>0</v>
      </c>
      <c r="H558" s="132">
        <f t="shared" ref="H558:H621" si="139">+D558*F558</f>
        <v>0</v>
      </c>
      <c r="I558" s="132">
        <f t="shared" ref="I558:I621" si="140">+G558-H558</f>
        <v>0</v>
      </c>
    </row>
    <row r="559" spans="1:9">
      <c r="A559" s="67">
        <v>315</v>
      </c>
      <c r="B559" s="74" t="s">
        <v>291</v>
      </c>
      <c r="C559" s="125" t="s">
        <v>365</v>
      </c>
      <c r="D559" s="73">
        <f t="shared" si="135"/>
        <v>0</v>
      </c>
      <c r="E559" s="132">
        <f t="shared" si="136"/>
        <v>1862.1311999999998</v>
      </c>
      <c r="F559" s="132">
        <f t="shared" si="137"/>
        <v>76878.48</v>
      </c>
      <c r="G559" s="132">
        <f t="shared" si="138"/>
        <v>0</v>
      </c>
      <c r="H559" s="132">
        <f t="shared" si="139"/>
        <v>0</v>
      </c>
      <c r="I559" s="132">
        <f t="shared" si="140"/>
        <v>0</v>
      </c>
    </row>
    <row r="560" spans="1:9">
      <c r="A560" s="67">
        <v>316</v>
      </c>
      <c r="B560" s="74" t="s">
        <v>292</v>
      </c>
      <c r="C560" s="125" t="s">
        <v>365</v>
      </c>
      <c r="D560" s="73">
        <f t="shared" si="135"/>
        <v>0</v>
      </c>
      <c r="E560" s="132">
        <f t="shared" si="136"/>
        <v>1862.1311999999998</v>
      </c>
      <c r="F560" s="132">
        <f t="shared" si="137"/>
        <v>76878.48</v>
      </c>
      <c r="G560" s="132">
        <f t="shared" si="138"/>
        <v>0</v>
      </c>
      <c r="H560" s="132">
        <f t="shared" si="139"/>
        <v>0</v>
      </c>
      <c r="I560" s="132">
        <f t="shared" si="140"/>
        <v>0</v>
      </c>
    </row>
    <row r="561" spans="1:9">
      <c r="A561" s="67">
        <v>317</v>
      </c>
      <c r="B561" s="74" t="s">
        <v>293</v>
      </c>
      <c r="C561" s="125" t="s">
        <v>365</v>
      </c>
      <c r="D561" s="73">
        <f t="shared" si="135"/>
        <v>0</v>
      </c>
      <c r="E561" s="132">
        <f t="shared" si="136"/>
        <v>4291.4256000000005</v>
      </c>
      <c r="F561" s="132">
        <f t="shared" si="137"/>
        <v>133086.64799999999</v>
      </c>
      <c r="G561" s="132">
        <f t="shared" si="138"/>
        <v>0</v>
      </c>
      <c r="H561" s="132">
        <f t="shared" si="139"/>
        <v>0</v>
      </c>
      <c r="I561" s="132">
        <f t="shared" si="140"/>
        <v>0</v>
      </c>
    </row>
    <row r="562" spans="1:9">
      <c r="A562" s="67">
        <v>318</v>
      </c>
      <c r="B562" s="74" t="s">
        <v>294</v>
      </c>
      <c r="C562" s="125" t="s">
        <v>365</v>
      </c>
      <c r="D562" s="73">
        <f t="shared" si="135"/>
        <v>0</v>
      </c>
      <c r="E562" s="132">
        <f t="shared" si="136"/>
        <v>4291.4256000000005</v>
      </c>
      <c r="F562" s="132">
        <f t="shared" si="137"/>
        <v>133086.64799999999</v>
      </c>
      <c r="G562" s="132">
        <f t="shared" si="138"/>
        <v>0</v>
      </c>
      <c r="H562" s="132">
        <f t="shared" si="139"/>
        <v>0</v>
      </c>
      <c r="I562" s="132">
        <f t="shared" si="140"/>
        <v>0</v>
      </c>
    </row>
    <row r="563" spans="1:9">
      <c r="A563" s="67">
        <v>319</v>
      </c>
      <c r="B563" s="74" t="s">
        <v>295</v>
      </c>
      <c r="C563" s="125" t="s">
        <v>365</v>
      </c>
      <c r="D563" s="73">
        <f t="shared" si="135"/>
        <v>0</v>
      </c>
      <c r="E563" s="132">
        <f t="shared" si="136"/>
        <v>4291.4256000000005</v>
      </c>
      <c r="F563" s="132">
        <f t="shared" si="137"/>
        <v>133086.64799999999</v>
      </c>
      <c r="G563" s="132">
        <f t="shared" si="138"/>
        <v>0</v>
      </c>
      <c r="H563" s="132">
        <f t="shared" si="139"/>
        <v>0</v>
      </c>
      <c r="I563" s="132">
        <f t="shared" si="140"/>
        <v>0</v>
      </c>
    </row>
    <row r="564" spans="1:9">
      <c r="A564" s="67">
        <v>320</v>
      </c>
      <c r="B564" s="74" t="s">
        <v>296</v>
      </c>
      <c r="C564" s="125" t="s">
        <v>365</v>
      </c>
      <c r="D564" s="73">
        <f t="shared" si="135"/>
        <v>0</v>
      </c>
      <c r="E564" s="132">
        <f t="shared" si="136"/>
        <v>4291.4256000000005</v>
      </c>
      <c r="F564" s="132">
        <f t="shared" si="137"/>
        <v>133086.64799999999</v>
      </c>
      <c r="G564" s="132">
        <f t="shared" si="138"/>
        <v>0</v>
      </c>
      <c r="H564" s="132">
        <f t="shared" si="139"/>
        <v>0</v>
      </c>
      <c r="I564" s="132">
        <f t="shared" si="140"/>
        <v>0</v>
      </c>
    </row>
    <row r="565" spans="1:9">
      <c r="A565" s="67">
        <v>321</v>
      </c>
      <c r="B565" s="74" t="s">
        <v>297</v>
      </c>
      <c r="C565" s="125" t="s">
        <v>365</v>
      </c>
      <c r="D565" s="73">
        <f t="shared" si="135"/>
        <v>0</v>
      </c>
      <c r="E565" s="132">
        <f t="shared" si="136"/>
        <v>12777.564</v>
      </c>
      <c r="F565" s="132">
        <f t="shared" si="137"/>
        <v>855574.97600000002</v>
      </c>
      <c r="G565" s="132">
        <f t="shared" si="138"/>
        <v>0</v>
      </c>
      <c r="H565" s="132">
        <f t="shared" si="139"/>
        <v>0</v>
      </c>
      <c r="I565" s="132">
        <f t="shared" si="140"/>
        <v>0</v>
      </c>
    </row>
    <row r="566" spans="1:9">
      <c r="A566" s="67">
        <v>322</v>
      </c>
      <c r="B566" s="74" t="s">
        <v>298</v>
      </c>
      <c r="C566" s="125" t="s">
        <v>365</v>
      </c>
      <c r="D566" s="73">
        <f t="shared" si="135"/>
        <v>0</v>
      </c>
      <c r="E566" s="132">
        <f t="shared" si="136"/>
        <v>12777.564</v>
      </c>
      <c r="F566" s="132">
        <f t="shared" si="137"/>
        <v>855574.97600000002</v>
      </c>
      <c r="G566" s="132">
        <f t="shared" si="138"/>
        <v>0</v>
      </c>
      <c r="H566" s="132">
        <f t="shared" si="139"/>
        <v>0</v>
      </c>
      <c r="I566" s="132">
        <f t="shared" si="140"/>
        <v>0</v>
      </c>
    </row>
    <row r="567" spans="1:9">
      <c r="A567" s="67">
        <v>323</v>
      </c>
      <c r="B567" s="74" t="s">
        <v>299</v>
      </c>
      <c r="C567" s="125" t="s">
        <v>365</v>
      </c>
      <c r="D567" s="73">
        <f t="shared" si="135"/>
        <v>0</v>
      </c>
      <c r="E567" s="132">
        <f t="shared" si="136"/>
        <v>12777.564</v>
      </c>
      <c r="F567" s="132">
        <f t="shared" si="137"/>
        <v>855574.97600000002</v>
      </c>
      <c r="G567" s="132">
        <f t="shared" si="138"/>
        <v>0</v>
      </c>
      <c r="H567" s="132">
        <f t="shared" si="139"/>
        <v>0</v>
      </c>
      <c r="I567" s="132">
        <f t="shared" si="140"/>
        <v>0</v>
      </c>
    </row>
    <row r="568" spans="1:9">
      <c r="A568" s="67">
        <v>324</v>
      </c>
      <c r="B568" s="74" t="s">
        <v>300</v>
      </c>
      <c r="C568" s="125" t="s">
        <v>365</v>
      </c>
      <c r="D568" s="73">
        <f t="shared" si="135"/>
        <v>0</v>
      </c>
      <c r="E568" s="132">
        <f t="shared" si="136"/>
        <v>12246.4632</v>
      </c>
      <c r="F568" s="132">
        <f t="shared" si="137"/>
        <v>409035.04</v>
      </c>
      <c r="G568" s="132">
        <f t="shared" si="138"/>
        <v>0</v>
      </c>
      <c r="H568" s="132">
        <f t="shared" si="139"/>
        <v>0</v>
      </c>
      <c r="I568" s="132">
        <f t="shared" si="140"/>
        <v>0</v>
      </c>
    </row>
    <row r="569" spans="1:9">
      <c r="A569" s="67">
        <v>325</v>
      </c>
      <c r="B569" s="74" t="s">
        <v>301</v>
      </c>
      <c r="C569" s="125" t="s">
        <v>365</v>
      </c>
      <c r="D569" s="73">
        <f t="shared" si="135"/>
        <v>0</v>
      </c>
      <c r="E569" s="132">
        <f t="shared" si="136"/>
        <v>12246.4632</v>
      </c>
      <c r="F569" s="132">
        <f t="shared" si="137"/>
        <v>409035.04</v>
      </c>
      <c r="G569" s="132">
        <f t="shared" si="138"/>
        <v>0</v>
      </c>
      <c r="H569" s="132">
        <f t="shared" si="139"/>
        <v>0</v>
      </c>
      <c r="I569" s="132">
        <f t="shared" si="140"/>
        <v>0</v>
      </c>
    </row>
    <row r="570" spans="1:9">
      <c r="A570" s="67">
        <v>326</v>
      </c>
      <c r="B570" s="74" t="s">
        <v>302</v>
      </c>
      <c r="C570" s="125" t="s">
        <v>365</v>
      </c>
      <c r="D570" s="73">
        <f t="shared" si="135"/>
        <v>0</v>
      </c>
      <c r="E570" s="132">
        <f t="shared" si="136"/>
        <v>12246.4632</v>
      </c>
      <c r="F570" s="132">
        <f t="shared" si="137"/>
        <v>409035.04</v>
      </c>
      <c r="G570" s="132">
        <f t="shared" si="138"/>
        <v>0</v>
      </c>
      <c r="H570" s="132">
        <f t="shared" si="139"/>
        <v>0</v>
      </c>
      <c r="I570" s="132">
        <f t="shared" si="140"/>
        <v>0</v>
      </c>
    </row>
    <row r="571" spans="1:9">
      <c r="A571" s="67">
        <v>327</v>
      </c>
      <c r="B571" s="74" t="s">
        <v>303</v>
      </c>
      <c r="C571" s="125" t="s">
        <v>365</v>
      </c>
      <c r="D571" s="73">
        <f t="shared" si="135"/>
        <v>0</v>
      </c>
      <c r="E571" s="132">
        <f t="shared" si="136"/>
        <v>22487.3652</v>
      </c>
      <c r="F571" s="132">
        <f t="shared" si="137"/>
        <v>823479.44</v>
      </c>
      <c r="G571" s="132">
        <f t="shared" si="138"/>
        <v>0</v>
      </c>
      <c r="H571" s="132">
        <f t="shared" si="139"/>
        <v>0</v>
      </c>
      <c r="I571" s="132">
        <f t="shared" si="140"/>
        <v>0</v>
      </c>
    </row>
    <row r="572" spans="1:9">
      <c r="A572" s="67">
        <v>328</v>
      </c>
      <c r="B572" s="74" t="s">
        <v>304</v>
      </c>
      <c r="C572" s="125" t="s">
        <v>365</v>
      </c>
      <c r="D572" s="73">
        <f t="shared" si="135"/>
        <v>0</v>
      </c>
      <c r="E572" s="132">
        <f t="shared" si="136"/>
        <v>22487.3652</v>
      </c>
      <c r="F572" s="132">
        <f t="shared" si="137"/>
        <v>823479.44</v>
      </c>
      <c r="G572" s="132">
        <f t="shared" si="138"/>
        <v>0</v>
      </c>
      <c r="H572" s="132">
        <f t="shared" si="139"/>
        <v>0</v>
      </c>
      <c r="I572" s="132">
        <f t="shared" si="140"/>
        <v>0</v>
      </c>
    </row>
    <row r="573" spans="1:9">
      <c r="A573" s="67">
        <v>329</v>
      </c>
      <c r="B573" s="74" t="s">
        <v>305</v>
      </c>
      <c r="C573" s="125" t="s">
        <v>365</v>
      </c>
      <c r="D573" s="73">
        <f t="shared" si="135"/>
        <v>0</v>
      </c>
      <c r="E573" s="132">
        <f t="shared" si="136"/>
        <v>22487.3652</v>
      </c>
      <c r="F573" s="132">
        <f t="shared" si="137"/>
        <v>823479.44</v>
      </c>
      <c r="G573" s="132">
        <f t="shared" si="138"/>
        <v>0</v>
      </c>
      <c r="H573" s="132">
        <f t="shared" si="139"/>
        <v>0</v>
      </c>
      <c r="I573" s="132">
        <f t="shared" si="140"/>
        <v>0</v>
      </c>
    </row>
    <row r="574" spans="1:9">
      <c r="A574" s="67">
        <v>330</v>
      </c>
      <c r="B574" s="74" t="s">
        <v>306</v>
      </c>
      <c r="C574" s="125" t="s">
        <v>365</v>
      </c>
      <c r="D574" s="73">
        <f t="shared" si="135"/>
        <v>0</v>
      </c>
      <c r="E574" s="132">
        <f t="shared" si="136"/>
        <v>64936.088399999993</v>
      </c>
      <c r="F574" s="132">
        <f t="shared" si="137"/>
        <v>2070287.7439999999</v>
      </c>
      <c r="G574" s="132">
        <f t="shared" si="138"/>
        <v>0</v>
      </c>
      <c r="H574" s="132">
        <f t="shared" si="139"/>
        <v>0</v>
      </c>
      <c r="I574" s="132">
        <f t="shared" si="140"/>
        <v>0</v>
      </c>
    </row>
    <row r="575" spans="1:9">
      <c r="A575" s="67">
        <v>331</v>
      </c>
      <c r="B575" s="74" t="s">
        <v>307</v>
      </c>
      <c r="C575" s="125" t="s">
        <v>365</v>
      </c>
      <c r="D575" s="73">
        <f t="shared" si="135"/>
        <v>0</v>
      </c>
      <c r="E575" s="132">
        <f t="shared" si="136"/>
        <v>64936.088399999993</v>
      </c>
      <c r="F575" s="132">
        <f t="shared" si="137"/>
        <v>2070287.7439999999</v>
      </c>
      <c r="G575" s="132">
        <f t="shared" si="138"/>
        <v>0</v>
      </c>
      <c r="H575" s="132">
        <f t="shared" si="139"/>
        <v>0</v>
      </c>
      <c r="I575" s="132">
        <f t="shared" si="140"/>
        <v>0</v>
      </c>
    </row>
    <row r="576" spans="1:9">
      <c r="A576" s="67">
        <v>332</v>
      </c>
      <c r="B576" s="74" t="s">
        <v>308</v>
      </c>
      <c r="C576" s="125" t="s">
        <v>365</v>
      </c>
      <c r="D576" s="73">
        <f t="shared" si="135"/>
        <v>0</v>
      </c>
      <c r="E576" s="132">
        <f t="shared" si="136"/>
        <v>64936.088399999993</v>
      </c>
      <c r="F576" s="132">
        <f t="shared" si="137"/>
        <v>2070287.7439999999</v>
      </c>
      <c r="G576" s="132">
        <f t="shared" si="138"/>
        <v>0</v>
      </c>
      <c r="H576" s="132">
        <f t="shared" si="139"/>
        <v>0</v>
      </c>
      <c r="I576" s="132">
        <f t="shared" si="140"/>
        <v>0</v>
      </c>
    </row>
    <row r="577" spans="1:9">
      <c r="A577" s="67">
        <v>333</v>
      </c>
      <c r="B577" s="74" t="s">
        <v>309</v>
      </c>
      <c r="C577" s="125" t="s">
        <v>365</v>
      </c>
      <c r="D577" s="73">
        <f t="shared" si="135"/>
        <v>0</v>
      </c>
      <c r="E577" s="132">
        <f t="shared" si="136"/>
        <v>65377.852800000008</v>
      </c>
      <c r="F577" s="132">
        <f t="shared" si="137"/>
        <v>1560518.4</v>
      </c>
      <c r="G577" s="132">
        <f t="shared" si="138"/>
        <v>0</v>
      </c>
      <c r="H577" s="132">
        <f t="shared" si="139"/>
        <v>0</v>
      </c>
      <c r="I577" s="132">
        <f t="shared" si="140"/>
        <v>0</v>
      </c>
    </row>
    <row r="578" spans="1:9">
      <c r="A578" s="67">
        <v>334</v>
      </c>
      <c r="B578" s="74" t="s">
        <v>310</v>
      </c>
      <c r="C578" s="125" t="s">
        <v>365</v>
      </c>
      <c r="D578" s="73">
        <f t="shared" si="135"/>
        <v>0</v>
      </c>
      <c r="E578" s="132">
        <f t="shared" si="136"/>
        <v>65377.852800000008</v>
      </c>
      <c r="F578" s="132">
        <f t="shared" si="137"/>
        <v>1827210.7760000001</v>
      </c>
      <c r="G578" s="132">
        <f t="shared" si="138"/>
        <v>0</v>
      </c>
      <c r="H578" s="132">
        <f t="shared" si="139"/>
        <v>0</v>
      </c>
      <c r="I578" s="132">
        <f t="shared" si="140"/>
        <v>0</v>
      </c>
    </row>
    <row r="579" spans="1:9">
      <c r="A579" s="67">
        <v>335</v>
      </c>
      <c r="B579" s="74" t="s">
        <v>311</v>
      </c>
      <c r="C579" s="125" t="s">
        <v>365</v>
      </c>
      <c r="D579" s="73">
        <f t="shared" si="135"/>
        <v>0</v>
      </c>
      <c r="E579" s="132">
        <f t="shared" si="136"/>
        <v>9634.3979999999992</v>
      </c>
      <c r="F579" s="132">
        <f t="shared" si="137"/>
        <v>395702.88</v>
      </c>
      <c r="G579" s="132">
        <f t="shared" si="138"/>
        <v>0</v>
      </c>
      <c r="H579" s="132">
        <f t="shared" si="139"/>
        <v>0</v>
      </c>
      <c r="I579" s="132">
        <f t="shared" si="140"/>
        <v>0</v>
      </c>
    </row>
    <row r="580" spans="1:9">
      <c r="A580" s="67">
        <v>336</v>
      </c>
      <c r="B580" s="74" t="s">
        <v>312</v>
      </c>
      <c r="C580" s="125" t="s">
        <v>365</v>
      </c>
      <c r="D580" s="73">
        <f t="shared" ref="D580:D606" si="141">+D388</f>
        <v>0</v>
      </c>
      <c r="E580" s="132">
        <f t="shared" ref="E580:E606" si="142">+F388</f>
        <v>10478.585999999999</v>
      </c>
      <c r="F580" s="132">
        <f t="shared" ref="F580:F606" si="143">+I388</f>
        <v>427940.48</v>
      </c>
      <c r="G580" s="132">
        <f t="shared" si="138"/>
        <v>0</v>
      </c>
      <c r="H580" s="132">
        <f t="shared" si="139"/>
        <v>0</v>
      </c>
      <c r="I580" s="132">
        <f t="shared" si="140"/>
        <v>0</v>
      </c>
    </row>
    <row r="581" spans="1:9">
      <c r="A581" s="67">
        <v>337</v>
      </c>
      <c r="B581" s="74" t="s">
        <v>313</v>
      </c>
      <c r="C581" s="125" t="s">
        <v>365</v>
      </c>
      <c r="D581" s="73">
        <f t="shared" si="141"/>
        <v>0</v>
      </c>
      <c r="E581" s="132">
        <f t="shared" si="142"/>
        <v>11678.4804</v>
      </c>
      <c r="F581" s="132">
        <f t="shared" si="143"/>
        <v>517987.2</v>
      </c>
      <c r="G581" s="132">
        <f t="shared" si="138"/>
        <v>0</v>
      </c>
      <c r="H581" s="132">
        <f t="shared" si="139"/>
        <v>0</v>
      </c>
      <c r="I581" s="132">
        <f t="shared" si="140"/>
        <v>0</v>
      </c>
    </row>
    <row r="582" spans="1:9">
      <c r="A582" s="67">
        <v>338</v>
      </c>
      <c r="B582" s="74" t="s">
        <v>314</v>
      </c>
      <c r="C582" s="125" t="s">
        <v>365</v>
      </c>
      <c r="D582" s="73">
        <f t="shared" si="141"/>
        <v>0</v>
      </c>
      <c r="E582" s="132">
        <f t="shared" si="142"/>
        <v>12241.545599999999</v>
      </c>
      <c r="F582" s="132">
        <f t="shared" si="143"/>
        <v>504327.2</v>
      </c>
      <c r="G582" s="132">
        <f t="shared" si="138"/>
        <v>0</v>
      </c>
      <c r="H582" s="132">
        <f t="shared" si="139"/>
        <v>0</v>
      </c>
      <c r="I582" s="132">
        <f t="shared" si="140"/>
        <v>0</v>
      </c>
    </row>
    <row r="583" spans="1:9">
      <c r="A583" s="67">
        <v>339</v>
      </c>
      <c r="B583" s="74" t="s">
        <v>315</v>
      </c>
      <c r="C583" s="125" t="s">
        <v>365</v>
      </c>
      <c r="D583" s="73">
        <f t="shared" si="141"/>
        <v>0</v>
      </c>
      <c r="E583" s="132">
        <f t="shared" si="142"/>
        <v>11575.210800000001</v>
      </c>
      <c r="F583" s="132">
        <f t="shared" si="143"/>
        <v>746382.4</v>
      </c>
      <c r="G583" s="132">
        <f t="shared" si="138"/>
        <v>0</v>
      </c>
      <c r="H583" s="132">
        <f t="shared" si="139"/>
        <v>0</v>
      </c>
      <c r="I583" s="132">
        <f t="shared" si="140"/>
        <v>0</v>
      </c>
    </row>
    <row r="584" spans="1:9">
      <c r="A584" s="67">
        <v>340</v>
      </c>
      <c r="B584" s="74" t="s">
        <v>316</v>
      </c>
      <c r="C584" s="125" t="s">
        <v>365</v>
      </c>
      <c r="D584" s="73">
        <f t="shared" si="141"/>
        <v>0</v>
      </c>
      <c r="E584" s="132">
        <f t="shared" si="142"/>
        <v>23812.6584</v>
      </c>
      <c r="F584" s="132">
        <f t="shared" si="143"/>
        <v>1037821.232</v>
      </c>
      <c r="G584" s="132">
        <f t="shared" si="138"/>
        <v>0</v>
      </c>
      <c r="H584" s="132">
        <f t="shared" si="139"/>
        <v>0</v>
      </c>
      <c r="I584" s="132">
        <f t="shared" si="140"/>
        <v>0</v>
      </c>
    </row>
    <row r="585" spans="1:9">
      <c r="A585" s="67">
        <v>341</v>
      </c>
      <c r="B585" s="74" t="s">
        <v>317</v>
      </c>
      <c r="C585" s="125" t="s">
        <v>365</v>
      </c>
      <c r="D585" s="73">
        <f t="shared" si="141"/>
        <v>0</v>
      </c>
      <c r="E585" s="132">
        <f t="shared" si="142"/>
        <v>683.54639999999995</v>
      </c>
      <c r="F585" s="132">
        <f t="shared" si="143"/>
        <v>22309.511999999999</v>
      </c>
      <c r="G585" s="132">
        <f t="shared" si="138"/>
        <v>0</v>
      </c>
      <c r="H585" s="132">
        <f t="shared" si="139"/>
        <v>0</v>
      </c>
      <c r="I585" s="132">
        <f t="shared" si="140"/>
        <v>0</v>
      </c>
    </row>
    <row r="586" spans="1:9">
      <c r="A586" s="67">
        <v>342</v>
      </c>
      <c r="B586" s="74" t="s">
        <v>318</v>
      </c>
      <c r="C586" s="125" t="s">
        <v>365</v>
      </c>
      <c r="D586" s="73">
        <f t="shared" si="141"/>
        <v>0</v>
      </c>
      <c r="E586" s="132">
        <f t="shared" si="142"/>
        <v>608.14319999999998</v>
      </c>
      <c r="F586" s="132">
        <f t="shared" si="143"/>
        <v>41001.856</v>
      </c>
      <c r="G586" s="132">
        <f t="shared" si="138"/>
        <v>0</v>
      </c>
      <c r="H586" s="132">
        <f t="shared" si="139"/>
        <v>0</v>
      </c>
      <c r="I586" s="132">
        <f t="shared" si="140"/>
        <v>0</v>
      </c>
    </row>
    <row r="587" spans="1:9">
      <c r="A587" s="67">
        <v>343</v>
      </c>
      <c r="B587" s="74" t="s">
        <v>319</v>
      </c>
      <c r="C587" s="125" t="s">
        <v>365</v>
      </c>
      <c r="D587" s="73">
        <f t="shared" si="141"/>
        <v>0</v>
      </c>
      <c r="E587" s="132">
        <f t="shared" si="142"/>
        <v>395.04719999999998</v>
      </c>
      <c r="F587" s="132">
        <f t="shared" si="143"/>
        <v>52017.279999999999</v>
      </c>
      <c r="G587" s="132">
        <f t="shared" si="138"/>
        <v>0</v>
      </c>
      <c r="H587" s="132">
        <f t="shared" si="139"/>
        <v>0</v>
      </c>
      <c r="I587" s="132">
        <f t="shared" si="140"/>
        <v>0</v>
      </c>
    </row>
    <row r="588" spans="1:9">
      <c r="A588" s="67">
        <v>344</v>
      </c>
      <c r="B588" s="74" t="s">
        <v>320</v>
      </c>
      <c r="C588" s="125" t="s">
        <v>365</v>
      </c>
      <c r="D588" s="73">
        <f t="shared" si="141"/>
        <v>0</v>
      </c>
      <c r="E588" s="132">
        <f t="shared" si="142"/>
        <v>513.88920000000007</v>
      </c>
      <c r="F588" s="132">
        <f t="shared" si="143"/>
        <v>26653.392</v>
      </c>
      <c r="G588" s="132">
        <f t="shared" si="138"/>
        <v>0</v>
      </c>
      <c r="H588" s="132">
        <f t="shared" si="139"/>
        <v>0</v>
      </c>
      <c r="I588" s="132">
        <f t="shared" si="140"/>
        <v>0</v>
      </c>
    </row>
    <row r="589" spans="1:9">
      <c r="A589" s="67">
        <v>345</v>
      </c>
      <c r="B589" s="74" t="s">
        <v>321</v>
      </c>
      <c r="C589" s="125" t="s">
        <v>365</v>
      </c>
      <c r="D589" s="73">
        <f t="shared" si="141"/>
        <v>0</v>
      </c>
      <c r="E589" s="132">
        <f t="shared" si="142"/>
        <v>649.1232</v>
      </c>
      <c r="F589" s="132">
        <f t="shared" si="143"/>
        <v>61442.68</v>
      </c>
      <c r="G589" s="132">
        <f t="shared" si="138"/>
        <v>0</v>
      </c>
      <c r="H589" s="132">
        <f t="shared" si="139"/>
        <v>0</v>
      </c>
      <c r="I589" s="132">
        <f t="shared" si="140"/>
        <v>0</v>
      </c>
    </row>
    <row r="590" spans="1:9">
      <c r="A590" s="67">
        <v>346</v>
      </c>
      <c r="B590" s="74" t="s">
        <v>322</v>
      </c>
      <c r="C590" s="125" t="s">
        <v>365</v>
      </c>
      <c r="D590" s="73">
        <f t="shared" si="141"/>
        <v>0</v>
      </c>
      <c r="E590" s="132">
        <f t="shared" si="142"/>
        <v>996.63360000000011</v>
      </c>
      <c r="F590" s="132">
        <f t="shared" si="143"/>
        <v>86413.16</v>
      </c>
      <c r="G590" s="132">
        <f t="shared" si="138"/>
        <v>0</v>
      </c>
      <c r="H590" s="132">
        <f t="shared" si="139"/>
        <v>0</v>
      </c>
      <c r="I590" s="132">
        <f t="shared" si="140"/>
        <v>0</v>
      </c>
    </row>
    <row r="591" spans="1:9">
      <c r="A591" s="67">
        <v>347</v>
      </c>
      <c r="B591" s="74" t="s">
        <v>323</v>
      </c>
      <c r="C591" s="125" t="s">
        <v>365</v>
      </c>
      <c r="D591" s="73">
        <f t="shared" si="141"/>
        <v>0</v>
      </c>
      <c r="E591" s="132">
        <f t="shared" si="142"/>
        <v>703.21679999999992</v>
      </c>
      <c r="F591" s="132">
        <f t="shared" si="143"/>
        <v>24188.035199999998</v>
      </c>
      <c r="G591" s="132">
        <f t="shared" si="138"/>
        <v>0</v>
      </c>
      <c r="H591" s="132">
        <f t="shared" si="139"/>
        <v>0</v>
      </c>
      <c r="I591" s="132">
        <f t="shared" si="140"/>
        <v>0</v>
      </c>
    </row>
    <row r="592" spans="1:9">
      <c r="A592" s="67">
        <v>348</v>
      </c>
      <c r="B592" s="74" t="s">
        <v>324</v>
      </c>
      <c r="C592" s="125" t="s">
        <v>365</v>
      </c>
      <c r="D592" s="73">
        <f t="shared" si="141"/>
        <v>0</v>
      </c>
      <c r="E592" s="132">
        <f t="shared" si="142"/>
        <v>703.21679999999992</v>
      </c>
      <c r="F592" s="132">
        <f t="shared" si="143"/>
        <v>24188.035199999998</v>
      </c>
      <c r="G592" s="132">
        <f t="shared" si="138"/>
        <v>0</v>
      </c>
      <c r="H592" s="132">
        <f t="shared" si="139"/>
        <v>0</v>
      </c>
      <c r="I592" s="132">
        <f t="shared" si="140"/>
        <v>0</v>
      </c>
    </row>
    <row r="593" spans="1:9">
      <c r="A593" s="67">
        <v>349</v>
      </c>
      <c r="B593" s="74" t="s">
        <v>325</v>
      </c>
      <c r="C593" s="125" t="s">
        <v>365</v>
      </c>
      <c r="D593" s="73">
        <f t="shared" si="141"/>
        <v>0</v>
      </c>
      <c r="E593" s="132">
        <f t="shared" si="142"/>
        <v>703.21679999999992</v>
      </c>
      <c r="F593" s="132">
        <f t="shared" si="143"/>
        <v>24188.035199999998</v>
      </c>
      <c r="G593" s="132">
        <f t="shared" si="138"/>
        <v>0</v>
      </c>
      <c r="H593" s="132">
        <f t="shared" si="139"/>
        <v>0</v>
      </c>
      <c r="I593" s="132">
        <f t="shared" si="140"/>
        <v>0</v>
      </c>
    </row>
    <row r="594" spans="1:9">
      <c r="A594" s="67">
        <v>350</v>
      </c>
      <c r="B594" s="74" t="s">
        <v>326</v>
      </c>
      <c r="C594" s="125" t="s">
        <v>365</v>
      </c>
      <c r="D594" s="73">
        <f t="shared" si="141"/>
        <v>0</v>
      </c>
      <c r="E594" s="132">
        <f t="shared" si="142"/>
        <v>1031.0568000000001</v>
      </c>
      <c r="F594" s="132">
        <f t="shared" si="143"/>
        <v>47154.32</v>
      </c>
      <c r="G594" s="132">
        <f t="shared" si="138"/>
        <v>0</v>
      </c>
      <c r="H594" s="132">
        <f t="shared" si="139"/>
        <v>0</v>
      </c>
      <c r="I594" s="132">
        <f t="shared" si="140"/>
        <v>0</v>
      </c>
    </row>
    <row r="595" spans="1:9">
      <c r="A595" s="67">
        <v>351</v>
      </c>
      <c r="B595" s="74" t="s">
        <v>327</v>
      </c>
      <c r="C595" s="125" t="s">
        <v>365</v>
      </c>
      <c r="D595" s="73">
        <f t="shared" si="141"/>
        <v>0</v>
      </c>
      <c r="E595" s="132">
        <f t="shared" si="142"/>
        <v>3092.3508000000002</v>
      </c>
      <c r="F595" s="132">
        <f t="shared" si="143"/>
        <v>128742.768</v>
      </c>
      <c r="G595" s="132">
        <f t="shared" si="138"/>
        <v>0</v>
      </c>
      <c r="H595" s="132">
        <f t="shared" si="139"/>
        <v>0</v>
      </c>
      <c r="I595" s="132">
        <f t="shared" si="140"/>
        <v>0</v>
      </c>
    </row>
    <row r="596" spans="1:9">
      <c r="A596" s="67">
        <v>352</v>
      </c>
      <c r="B596" s="74" t="s">
        <v>328</v>
      </c>
      <c r="C596" s="125" t="s">
        <v>365</v>
      </c>
      <c r="D596" s="73">
        <f t="shared" si="141"/>
        <v>0</v>
      </c>
      <c r="E596" s="132">
        <f t="shared" si="142"/>
        <v>10784.2968</v>
      </c>
      <c r="F596" s="132">
        <f t="shared" si="143"/>
        <v>243070.4112</v>
      </c>
      <c r="G596" s="132">
        <f t="shared" si="138"/>
        <v>0</v>
      </c>
      <c r="H596" s="132">
        <f t="shared" si="139"/>
        <v>0</v>
      </c>
      <c r="I596" s="132">
        <f t="shared" si="140"/>
        <v>0</v>
      </c>
    </row>
    <row r="597" spans="1:9">
      <c r="A597" s="67">
        <v>353</v>
      </c>
      <c r="B597" s="74" t="s">
        <v>329</v>
      </c>
      <c r="C597" s="125" t="s">
        <v>365</v>
      </c>
      <c r="D597" s="73">
        <f t="shared" si="141"/>
        <v>0</v>
      </c>
      <c r="E597" s="132">
        <f t="shared" si="142"/>
        <v>1013.8452</v>
      </c>
      <c r="F597" s="132">
        <f t="shared" si="143"/>
        <v>128742.768</v>
      </c>
      <c r="G597" s="132">
        <f t="shared" si="138"/>
        <v>0</v>
      </c>
      <c r="H597" s="132">
        <f t="shared" si="139"/>
        <v>0</v>
      </c>
      <c r="I597" s="132">
        <f t="shared" si="140"/>
        <v>0</v>
      </c>
    </row>
    <row r="598" spans="1:9">
      <c r="A598" s="67">
        <v>354</v>
      </c>
      <c r="B598" s="74" t="s">
        <v>330</v>
      </c>
      <c r="C598" s="125" t="s">
        <v>365</v>
      </c>
      <c r="D598" s="73">
        <f t="shared" si="141"/>
        <v>0</v>
      </c>
      <c r="E598" s="132">
        <f t="shared" si="142"/>
        <v>2714.5151999999998</v>
      </c>
      <c r="F598" s="132">
        <f t="shared" si="143"/>
        <v>152981.07199999999</v>
      </c>
      <c r="G598" s="132">
        <f t="shared" si="138"/>
        <v>0</v>
      </c>
      <c r="H598" s="132">
        <f t="shared" si="139"/>
        <v>0</v>
      </c>
      <c r="I598" s="132">
        <f t="shared" si="140"/>
        <v>0</v>
      </c>
    </row>
    <row r="599" spans="1:9">
      <c r="A599" s="67">
        <v>355</v>
      </c>
      <c r="B599" s="74" t="s">
        <v>331</v>
      </c>
      <c r="C599" s="125" t="s">
        <v>365</v>
      </c>
      <c r="D599" s="73">
        <f t="shared" si="141"/>
        <v>0</v>
      </c>
      <c r="E599" s="132">
        <f t="shared" si="142"/>
        <v>721.24800000000005</v>
      </c>
      <c r="F599" s="132">
        <f t="shared" si="143"/>
        <v>28565.792000000001</v>
      </c>
      <c r="G599" s="132">
        <f t="shared" si="138"/>
        <v>0</v>
      </c>
      <c r="H599" s="132">
        <f t="shared" si="139"/>
        <v>0</v>
      </c>
      <c r="I599" s="132">
        <f t="shared" si="140"/>
        <v>0</v>
      </c>
    </row>
    <row r="600" spans="1:9">
      <c r="A600" s="67">
        <v>356</v>
      </c>
      <c r="B600" s="74" t="s">
        <v>332</v>
      </c>
      <c r="C600" s="125" t="s">
        <v>365</v>
      </c>
      <c r="D600" s="73">
        <f t="shared" si="141"/>
        <v>0</v>
      </c>
      <c r="E600" s="132">
        <f t="shared" si="142"/>
        <v>2731.7267999999999</v>
      </c>
      <c r="F600" s="132">
        <f t="shared" si="143"/>
        <v>112968.2</v>
      </c>
      <c r="G600" s="132">
        <f t="shared" si="138"/>
        <v>0</v>
      </c>
      <c r="H600" s="132">
        <f t="shared" si="139"/>
        <v>0</v>
      </c>
      <c r="I600" s="132">
        <f t="shared" si="140"/>
        <v>0</v>
      </c>
    </row>
    <row r="601" spans="1:9">
      <c r="A601" s="67">
        <v>357</v>
      </c>
      <c r="B601" s="74" t="s">
        <v>333</v>
      </c>
      <c r="C601" s="125" t="s">
        <v>365</v>
      </c>
      <c r="D601" s="73">
        <f t="shared" si="141"/>
        <v>0</v>
      </c>
      <c r="E601" s="132">
        <f t="shared" si="142"/>
        <v>1855.5744</v>
      </c>
      <c r="F601" s="132">
        <f t="shared" si="143"/>
        <v>95504.163199999995</v>
      </c>
      <c r="G601" s="132">
        <f t="shared" si="138"/>
        <v>0</v>
      </c>
      <c r="H601" s="132">
        <f t="shared" si="139"/>
        <v>0</v>
      </c>
      <c r="I601" s="132">
        <f t="shared" si="140"/>
        <v>0</v>
      </c>
    </row>
    <row r="602" spans="1:9">
      <c r="A602" s="67">
        <v>358</v>
      </c>
      <c r="B602" s="74" t="s">
        <v>334</v>
      </c>
      <c r="C602" s="125" t="s">
        <v>365</v>
      </c>
      <c r="D602" s="73">
        <f t="shared" si="141"/>
        <v>0</v>
      </c>
      <c r="E602" s="132">
        <f t="shared" si="142"/>
        <v>12846.410400000001</v>
      </c>
      <c r="F602" s="132">
        <f t="shared" si="143"/>
        <v>145233.11704943998</v>
      </c>
      <c r="G602" s="132">
        <f t="shared" si="138"/>
        <v>0</v>
      </c>
      <c r="H602" s="132">
        <f t="shared" si="139"/>
        <v>0</v>
      </c>
      <c r="I602" s="132">
        <f t="shared" si="140"/>
        <v>0</v>
      </c>
    </row>
    <row r="603" spans="1:9">
      <c r="A603" s="67">
        <v>359</v>
      </c>
      <c r="B603" s="74" t="s">
        <v>335</v>
      </c>
      <c r="C603" s="125" t="s">
        <v>365</v>
      </c>
      <c r="D603" s="73">
        <f t="shared" si="141"/>
        <v>0</v>
      </c>
      <c r="E603" s="132">
        <f t="shared" si="142"/>
        <v>958.93200000000002</v>
      </c>
      <c r="F603" s="132">
        <f t="shared" si="143"/>
        <v>75828.299199999994</v>
      </c>
      <c r="G603" s="132">
        <f t="shared" si="138"/>
        <v>0</v>
      </c>
      <c r="H603" s="132">
        <f t="shared" si="139"/>
        <v>0</v>
      </c>
      <c r="I603" s="132">
        <f t="shared" si="140"/>
        <v>0</v>
      </c>
    </row>
    <row r="604" spans="1:9">
      <c r="A604" s="67">
        <v>360</v>
      </c>
      <c r="B604" s="74" t="s">
        <v>336</v>
      </c>
      <c r="C604" s="125" t="s">
        <v>365</v>
      </c>
      <c r="D604" s="73">
        <f t="shared" si="141"/>
        <v>0</v>
      </c>
      <c r="E604" s="132">
        <f t="shared" si="142"/>
        <v>3948.0132000000003</v>
      </c>
      <c r="F604" s="132">
        <f t="shared" si="143"/>
        <v>106777.488</v>
      </c>
      <c r="G604" s="132">
        <f t="shared" si="138"/>
        <v>0</v>
      </c>
      <c r="H604" s="132">
        <f t="shared" si="139"/>
        <v>0</v>
      </c>
      <c r="I604" s="132">
        <f t="shared" si="140"/>
        <v>0</v>
      </c>
    </row>
    <row r="605" spans="1:9">
      <c r="A605" s="67">
        <v>361</v>
      </c>
      <c r="B605" s="74" t="s">
        <v>337</v>
      </c>
      <c r="C605" s="125" t="s">
        <v>365</v>
      </c>
      <c r="D605" s="73">
        <f t="shared" si="141"/>
        <v>0</v>
      </c>
      <c r="E605" s="132">
        <f t="shared" si="142"/>
        <v>37759.791599999997</v>
      </c>
      <c r="F605" s="132">
        <f t="shared" si="143"/>
        <v>1065053.808</v>
      </c>
      <c r="G605" s="132">
        <f t="shared" si="138"/>
        <v>0</v>
      </c>
      <c r="H605" s="132">
        <f t="shared" si="139"/>
        <v>0</v>
      </c>
      <c r="I605" s="132">
        <f t="shared" si="140"/>
        <v>0</v>
      </c>
    </row>
    <row r="606" spans="1:9">
      <c r="A606" s="67">
        <v>362</v>
      </c>
      <c r="B606" s="74" t="s">
        <v>338</v>
      </c>
      <c r="C606" s="125" t="s">
        <v>365</v>
      </c>
      <c r="D606" s="73">
        <f t="shared" si="141"/>
        <v>0</v>
      </c>
      <c r="E606" s="132">
        <f t="shared" si="142"/>
        <v>27486.925199999998</v>
      </c>
      <c r="F606" s="132">
        <f t="shared" si="143"/>
        <v>780206.74560000002</v>
      </c>
      <c r="G606" s="132">
        <f t="shared" si="138"/>
        <v>0</v>
      </c>
      <c r="H606" s="132">
        <f t="shared" si="139"/>
        <v>0</v>
      </c>
      <c r="I606" s="132">
        <f t="shared" si="140"/>
        <v>0</v>
      </c>
    </row>
    <row r="607" spans="1:9">
      <c r="A607" s="67">
        <v>364</v>
      </c>
      <c r="B607" s="74" t="s">
        <v>339</v>
      </c>
      <c r="C607" s="125" t="s">
        <v>365</v>
      </c>
      <c r="D607" s="73">
        <f>+D416</f>
        <v>0</v>
      </c>
      <c r="E607" s="132">
        <f>+F416</f>
        <v>11681.7588</v>
      </c>
      <c r="F607" s="132">
        <f>+I416</f>
        <v>624207.35999999999</v>
      </c>
      <c r="G607" s="132">
        <f t="shared" si="138"/>
        <v>0</v>
      </c>
      <c r="H607" s="132">
        <f t="shared" si="139"/>
        <v>0</v>
      </c>
      <c r="I607" s="132">
        <f t="shared" si="140"/>
        <v>0</v>
      </c>
    </row>
    <row r="608" spans="1:9">
      <c r="A608" s="67">
        <v>366</v>
      </c>
      <c r="B608" s="74" t="s">
        <v>340</v>
      </c>
      <c r="C608" s="125" t="s">
        <v>365</v>
      </c>
      <c r="D608" s="73">
        <f>+D418</f>
        <v>0</v>
      </c>
      <c r="E608" s="132">
        <f>+F418</f>
        <v>14277.432000000001</v>
      </c>
      <c r="F608" s="132">
        <f>+I418</f>
        <v>754250.55999999994</v>
      </c>
      <c r="G608" s="132">
        <f t="shared" si="138"/>
        <v>0</v>
      </c>
      <c r="H608" s="132">
        <f t="shared" si="139"/>
        <v>0</v>
      </c>
      <c r="I608" s="132">
        <f t="shared" si="140"/>
        <v>0</v>
      </c>
    </row>
    <row r="609" spans="1:9">
      <c r="A609" s="67">
        <v>368</v>
      </c>
      <c r="B609" s="74" t="s">
        <v>341</v>
      </c>
      <c r="C609" s="125" t="s">
        <v>365</v>
      </c>
      <c r="D609" s="73">
        <f>+D420</f>
        <v>0</v>
      </c>
      <c r="E609" s="132">
        <f>+F420</f>
        <v>17198.486400000002</v>
      </c>
      <c r="F609" s="132">
        <f>+I420</f>
        <v>884293.76</v>
      </c>
      <c r="G609" s="132">
        <f t="shared" si="138"/>
        <v>0</v>
      </c>
      <c r="H609" s="132">
        <f t="shared" si="139"/>
        <v>0</v>
      </c>
      <c r="I609" s="132">
        <f t="shared" si="140"/>
        <v>0</v>
      </c>
    </row>
    <row r="610" spans="1:9">
      <c r="A610" s="67">
        <v>369</v>
      </c>
      <c r="B610" s="74" t="s">
        <v>342</v>
      </c>
      <c r="C610" s="125" t="s">
        <v>365</v>
      </c>
      <c r="D610" s="73">
        <f>+D421</f>
        <v>0</v>
      </c>
      <c r="E610" s="132">
        <f>+F421</f>
        <v>102967.16759999999</v>
      </c>
      <c r="F610" s="132">
        <f>+I421</f>
        <v>2600864</v>
      </c>
      <c r="G610" s="132">
        <f t="shared" si="138"/>
        <v>0</v>
      </c>
      <c r="H610" s="132">
        <f t="shared" si="139"/>
        <v>0</v>
      </c>
      <c r="I610" s="132">
        <f t="shared" si="140"/>
        <v>0</v>
      </c>
    </row>
    <row r="611" spans="1:9">
      <c r="A611" s="67">
        <v>371</v>
      </c>
      <c r="B611" s="74" t="s">
        <v>343</v>
      </c>
      <c r="C611" s="125" t="s">
        <v>365</v>
      </c>
      <c r="D611" s="73">
        <f>+D423</f>
        <v>0.5</v>
      </c>
      <c r="E611" s="132">
        <f>+F423</f>
        <v>17847.6096</v>
      </c>
      <c r="F611" s="132">
        <f>+I423</f>
        <v>458866.72</v>
      </c>
      <c r="G611" s="132">
        <f t="shared" si="138"/>
        <v>8923.8047999999999</v>
      </c>
      <c r="H611" s="132">
        <f t="shared" si="139"/>
        <v>229433.36</v>
      </c>
      <c r="I611" s="132">
        <f t="shared" si="140"/>
        <v>-220509.55519999997</v>
      </c>
    </row>
    <row r="612" spans="1:9">
      <c r="A612" s="67">
        <v>373</v>
      </c>
      <c r="B612" s="74" t="s">
        <v>344</v>
      </c>
      <c r="C612" s="125" t="s">
        <v>365</v>
      </c>
      <c r="D612" s="73">
        <f>+D425</f>
        <v>0</v>
      </c>
      <c r="E612" s="132">
        <f>+F425</f>
        <v>64520.551200000002</v>
      </c>
      <c r="F612" s="132">
        <f>+I425</f>
        <v>2847946.08</v>
      </c>
      <c r="G612" s="132">
        <f t="shared" si="138"/>
        <v>0</v>
      </c>
      <c r="H612" s="132">
        <f t="shared" si="139"/>
        <v>0</v>
      </c>
      <c r="I612" s="132">
        <f t="shared" si="140"/>
        <v>0</v>
      </c>
    </row>
    <row r="613" spans="1:9">
      <c r="A613" s="67">
        <v>375</v>
      </c>
      <c r="B613" s="74" t="s">
        <v>345</v>
      </c>
      <c r="C613" s="125" t="s">
        <v>365</v>
      </c>
      <c r="D613" s="73">
        <f>+D427</f>
        <v>0</v>
      </c>
      <c r="E613" s="132">
        <f>+F427</f>
        <v>4119.3096000000005</v>
      </c>
      <c r="F613" s="132">
        <f>+I427</f>
        <v>184661.34400000001</v>
      </c>
      <c r="G613" s="132">
        <f t="shared" si="138"/>
        <v>0</v>
      </c>
      <c r="H613" s="132">
        <f t="shared" si="139"/>
        <v>0</v>
      </c>
      <c r="I613" s="132">
        <f t="shared" si="140"/>
        <v>0</v>
      </c>
    </row>
    <row r="614" spans="1:9">
      <c r="A614" s="67">
        <v>377</v>
      </c>
      <c r="B614" s="74" t="s">
        <v>346</v>
      </c>
      <c r="C614" s="125" t="s">
        <v>365</v>
      </c>
      <c r="D614" s="73">
        <f>+D429</f>
        <v>0</v>
      </c>
      <c r="E614" s="132">
        <f>+F429</f>
        <v>4215.2028</v>
      </c>
      <c r="F614" s="132">
        <f>+I429</f>
        <v>110536.72</v>
      </c>
      <c r="G614" s="132">
        <f t="shared" si="138"/>
        <v>0</v>
      </c>
      <c r="H614" s="132">
        <f t="shared" si="139"/>
        <v>0</v>
      </c>
      <c r="I614" s="132">
        <f t="shared" si="140"/>
        <v>0</v>
      </c>
    </row>
    <row r="615" spans="1:9">
      <c r="A615" s="67">
        <v>378</v>
      </c>
      <c r="B615" s="74" t="s">
        <v>347</v>
      </c>
      <c r="C615" s="125" t="s">
        <v>365</v>
      </c>
      <c r="D615" s="73">
        <f>+D430</f>
        <v>0</v>
      </c>
      <c r="E615" s="132">
        <f>+F430</f>
        <v>6651.8736000000008</v>
      </c>
      <c r="F615" s="132">
        <f>+I430</f>
        <v>199492.82560000001</v>
      </c>
      <c r="G615" s="132">
        <f t="shared" si="138"/>
        <v>0</v>
      </c>
      <c r="H615" s="132">
        <f t="shared" si="139"/>
        <v>0</v>
      </c>
      <c r="I615" s="132">
        <f t="shared" si="140"/>
        <v>0</v>
      </c>
    </row>
    <row r="616" spans="1:9">
      <c r="A616" s="67">
        <v>379</v>
      </c>
      <c r="B616" s="74" t="s">
        <v>348</v>
      </c>
      <c r="C616" s="125" t="s">
        <v>365</v>
      </c>
      <c r="D616" s="73">
        <f>+D431</f>
        <v>0</v>
      </c>
      <c r="E616" s="132">
        <f>+F431</f>
        <v>9248.366399999999</v>
      </c>
      <c r="F616" s="132">
        <f>+I431</f>
        <v>237880.704</v>
      </c>
      <c r="G616" s="132">
        <f t="shared" si="138"/>
        <v>0</v>
      </c>
      <c r="H616" s="132">
        <f t="shared" si="139"/>
        <v>0</v>
      </c>
      <c r="I616" s="132">
        <f t="shared" si="140"/>
        <v>0</v>
      </c>
    </row>
    <row r="617" spans="1:9">
      <c r="A617" s="67">
        <v>381</v>
      </c>
      <c r="B617" s="74" t="s">
        <v>349</v>
      </c>
      <c r="C617" s="125" t="s">
        <v>365</v>
      </c>
      <c r="D617" s="73">
        <f>+D433</f>
        <v>0</v>
      </c>
      <c r="E617" s="132">
        <f>+F433</f>
        <v>26836.162799999998</v>
      </c>
      <c r="F617" s="132">
        <f>+I433</f>
        <v>890795.92</v>
      </c>
      <c r="G617" s="132">
        <f t="shared" si="138"/>
        <v>0</v>
      </c>
      <c r="H617" s="132">
        <f t="shared" si="139"/>
        <v>0</v>
      </c>
      <c r="I617" s="132">
        <f t="shared" si="140"/>
        <v>0</v>
      </c>
    </row>
    <row r="618" spans="1:9">
      <c r="A618" s="67">
        <v>383</v>
      </c>
      <c r="B618" s="74" t="s">
        <v>350</v>
      </c>
      <c r="C618" s="125" t="s">
        <v>365</v>
      </c>
      <c r="D618" s="73">
        <f>+D435</f>
        <v>0</v>
      </c>
      <c r="E618" s="132">
        <f>+F435</f>
        <v>51756.920399999995</v>
      </c>
      <c r="F618" s="132">
        <f>+I435</f>
        <v>1046847.76</v>
      </c>
      <c r="G618" s="132">
        <f t="shared" si="138"/>
        <v>0</v>
      </c>
      <c r="H618" s="132">
        <f t="shared" si="139"/>
        <v>0</v>
      </c>
      <c r="I618" s="132">
        <f t="shared" si="140"/>
        <v>0</v>
      </c>
    </row>
    <row r="619" spans="1:9">
      <c r="A619" s="67">
        <v>385</v>
      </c>
      <c r="B619" s="74" t="s">
        <v>351</v>
      </c>
      <c r="C619" s="125" t="s">
        <v>365</v>
      </c>
      <c r="D619" s="73">
        <f>+D437</f>
        <v>0</v>
      </c>
      <c r="E619" s="132">
        <f>+F437</f>
        <v>68241.535199999998</v>
      </c>
      <c r="F619" s="132">
        <f>+I437</f>
        <v>2899963.36</v>
      </c>
      <c r="G619" s="132">
        <f t="shared" si="138"/>
        <v>0</v>
      </c>
      <c r="H619" s="132">
        <f t="shared" si="139"/>
        <v>0</v>
      </c>
      <c r="I619" s="132">
        <f t="shared" si="140"/>
        <v>0</v>
      </c>
    </row>
    <row r="620" spans="1:9">
      <c r="A620" s="67">
        <v>387</v>
      </c>
      <c r="B620" s="74" t="s">
        <v>352</v>
      </c>
      <c r="C620" s="125" t="s">
        <v>365</v>
      </c>
      <c r="D620" s="73">
        <f>+D439</f>
        <v>0</v>
      </c>
      <c r="E620" s="132">
        <f>+F439</f>
        <v>74472.134399999995</v>
      </c>
      <c r="F620" s="132">
        <f>+I439</f>
        <v>3836274.4</v>
      </c>
      <c r="G620" s="132">
        <f t="shared" si="138"/>
        <v>0</v>
      </c>
      <c r="H620" s="132">
        <f t="shared" si="139"/>
        <v>0</v>
      </c>
      <c r="I620" s="132">
        <f t="shared" si="140"/>
        <v>0</v>
      </c>
    </row>
    <row r="621" spans="1:9">
      <c r="A621" s="67">
        <v>389</v>
      </c>
      <c r="B621" s="74" t="s">
        <v>353</v>
      </c>
      <c r="C621" s="125" t="s">
        <v>365</v>
      </c>
      <c r="D621" s="73">
        <f>+D441</f>
        <v>0</v>
      </c>
      <c r="E621" s="132">
        <f>+F441</f>
        <v>85991.612399999998</v>
      </c>
      <c r="F621" s="132">
        <f>+I441</f>
        <v>6112030.4000000004</v>
      </c>
      <c r="G621" s="132">
        <f t="shared" si="138"/>
        <v>0</v>
      </c>
      <c r="H621" s="132">
        <f t="shared" si="139"/>
        <v>0</v>
      </c>
      <c r="I621" s="132">
        <f t="shared" si="140"/>
        <v>0</v>
      </c>
    </row>
    <row r="622" spans="1:9">
      <c r="A622" s="67">
        <v>391</v>
      </c>
      <c r="B622" s="74" t="s">
        <v>354</v>
      </c>
      <c r="C622" s="125" t="s">
        <v>365</v>
      </c>
      <c r="D622" s="73">
        <f>+D443</f>
        <v>0</v>
      </c>
      <c r="E622" s="132">
        <f>+F443</f>
        <v>73109.139599999995</v>
      </c>
      <c r="F622" s="132">
        <f>+I443</f>
        <v>3161448.5439999998</v>
      </c>
      <c r="G622" s="132">
        <f t="shared" ref="G622:G631" si="144">+D622*E622</f>
        <v>0</v>
      </c>
      <c r="H622" s="132">
        <f t="shared" ref="H622:H631" si="145">+D622*F622</f>
        <v>0</v>
      </c>
      <c r="I622" s="132">
        <f t="shared" ref="I622:I631" si="146">+G622-H622</f>
        <v>0</v>
      </c>
    </row>
    <row r="623" spans="1:9">
      <c r="A623" s="67">
        <v>393</v>
      </c>
      <c r="B623" s="74" t="s">
        <v>355</v>
      </c>
      <c r="C623" s="125" t="s">
        <v>365</v>
      </c>
      <c r="D623" s="73">
        <f>+D445</f>
        <v>0</v>
      </c>
      <c r="E623" s="132">
        <f>+F445</f>
        <v>72849.326400000005</v>
      </c>
      <c r="F623" s="132">
        <f>+I445</f>
        <v>4161382.3999999999</v>
      </c>
      <c r="G623" s="132">
        <f t="shared" si="144"/>
        <v>0</v>
      </c>
      <c r="H623" s="132">
        <f t="shared" si="145"/>
        <v>0</v>
      </c>
      <c r="I623" s="132">
        <f t="shared" si="146"/>
        <v>0</v>
      </c>
    </row>
    <row r="624" spans="1:9">
      <c r="A624" s="67">
        <v>395</v>
      </c>
      <c r="B624" s="74" t="s">
        <v>356</v>
      </c>
      <c r="C624" s="125" t="s">
        <v>365</v>
      </c>
      <c r="D624" s="73">
        <f>+D447</f>
        <v>0</v>
      </c>
      <c r="E624" s="132">
        <f>+F447</f>
        <v>84336.84</v>
      </c>
      <c r="F624" s="132">
        <f>+I447</f>
        <v>1755452.064</v>
      </c>
      <c r="G624" s="132">
        <f t="shared" si="144"/>
        <v>0</v>
      </c>
      <c r="H624" s="132">
        <f t="shared" si="145"/>
        <v>0</v>
      </c>
      <c r="I624" s="132">
        <f t="shared" si="146"/>
        <v>0</v>
      </c>
    </row>
    <row r="625" spans="1:9">
      <c r="A625" s="67">
        <v>397</v>
      </c>
      <c r="B625" s="74" t="s">
        <v>357</v>
      </c>
      <c r="C625" s="125" t="s">
        <v>365</v>
      </c>
      <c r="D625" s="73">
        <f>+D449</f>
        <v>0</v>
      </c>
      <c r="E625" s="132">
        <f>+F449</f>
        <v>47892.506399999998</v>
      </c>
      <c r="F625" s="132">
        <f>+I449</f>
        <v>1452112.64</v>
      </c>
      <c r="G625" s="132">
        <f t="shared" si="144"/>
        <v>0</v>
      </c>
      <c r="H625" s="132">
        <f t="shared" si="145"/>
        <v>0</v>
      </c>
      <c r="I625" s="132">
        <f t="shared" si="146"/>
        <v>0</v>
      </c>
    </row>
    <row r="626" spans="1:9">
      <c r="A626" s="67">
        <v>399</v>
      </c>
      <c r="B626" s="74" t="s">
        <v>358</v>
      </c>
      <c r="C626" s="125" t="s">
        <v>365</v>
      </c>
      <c r="D626" s="73">
        <f>+D451</f>
        <v>0</v>
      </c>
      <c r="E626" s="132">
        <f>+F451</f>
        <v>10416.296399999999</v>
      </c>
      <c r="F626" s="132">
        <f>+I451</f>
        <v>30489.119999999999</v>
      </c>
      <c r="G626" s="132">
        <f t="shared" si="144"/>
        <v>0</v>
      </c>
      <c r="H626" s="132">
        <f t="shared" si="145"/>
        <v>0</v>
      </c>
      <c r="I626" s="132">
        <f t="shared" si="146"/>
        <v>0</v>
      </c>
    </row>
    <row r="627" spans="1:9">
      <c r="A627" s="67">
        <v>400</v>
      </c>
      <c r="B627" s="74" t="s">
        <v>359</v>
      </c>
      <c r="C627" s="125" t="s">
        <v>365</v>
      </c>
      <c r="D627" s="73">
        <f>+D452</f>
        <v>0</v>
      </c>
      <c r="E627" s="132">
        <f>+F452</f>
        <v>3079.2371999999996</v>
      </c>
      <c r="F627" s="132">
        <f>+I452</f>
        <v>66551.520000000004</v>
      </c>
      <c r="G627" s="132">
        <f t="shared" si="144"/>
        <v>0</v>
      </c>
      <c r="H627" s="132">
        <f t="shared" si="145"/>
        <v>0</v>
      </c>
      <c r="I627" s="132">
        <f t="shared" si="146"/>
        <v>0</v>
      </c>
    </row>
    <row r="628" spans="1:9">
      <c r="A628" s="67">
        <v>401</v>
      </c>
      <c r="B628" s="74" t="s">
        <v>360</v>
      </c>
      <c r="C628" s="125" t="s">
        <v>365</v>
      </c>
      <c r="D628" s="73">
        <f>+D453</f>
        <v>0</v>
      </c>
      <c r="E628" s="132">
        <f>+F453</f>
        <v>62108.468400000005</v>
      </c>
      <c r="F628" s="132">
        <f>+I453</f>
        <v>7519447.5199999996</v>
      </c>
      <c r="G628" s="132">
        <f t="shared" si="144"/>
        <v>0</v>
      </c>
      <c r="H628" s="132">
        <f t="shared" si="145"/>
        <v>0</v>
      </c>
      <c r="I628" s="132">
        <f t="shared" si="146"/>
        <v>0</v>
      </c>
    </row>
    <row r="629" spans="1:9">
      <c r="A629" s="67">
        <v>403</v>
      </c>
      <c r="B629" s="74" t="s">
        <v>361</v>
      </c>
      <c r="C629" s="125" t="s">
        <v>365</v>
      </c>
      <c r="D629" s="73">
        <f>+D455</f>
        <v>0</v>
      </c>
      <c r="E629" s="132">
        <f>+F455</f>
        <v>105003.87359999999</v>
      </c>
      <c r="F629" s="132">
        <f>+I455</f>
        <v>3278400</v>
      </c>
      <c r="G629" s="132">
        <f t="shared" si="144"/>
        <v>0</v>
      </c>
      <c r="H629" s="132">
        <f t="shared" si="145"/>
        <v>0</v>
      </c>
      <c r="I629" s="132">
        <f t="shared" si="146"/>
        <v>0</v>
      </c>
    </row>
    <row r="630" spans="1:9">
      <c r="A630" s="67">
        <v>405</v>
      </c>
      <c r="B630" s="74" t="s">
        <v>362</v>
      </c>
      <c r="C630" s="125" t="s">
        <v>365</v>
      </c>
      <c r="D630" s="73">
        <f>+D457</f>
        <v>0</v>
      </c>
      <c r="E630" s="132">
        <f>+F457</f>
        <v>62249.439599999998</v>
      </c>
      <c r="F630" s="132">
        <f>+I457</f>
        <v>1967040</v>
      </c>
      <c r="G630" s="132">
        <f t="shared" si="144"/>
        <v>0</v>
      </c>
      <c r="H630" s="132">
        <f t="shared" si="145"/>
        <v>0</v>
      </c>
      <c r="I630" s="132">
        <f t="shared" si="146"/>
        <v>0</v>
      </c>
    </row>
    <row r="631" spans="1:9">
      <c r="A631" s="67">
        <v>407</v>
      </c>
      <c r="B631" s="74" t="s">
        <v>363</v>
      </c>
      <c r="C631" s="125" t="s">
        <v>365</v>
      </c>
      <c r="D631" s="73">
        <f>+D459</f>
        <v>0</v>
      </c>
      <c r="E631" s="132">
        <f>+F459</f>
        <v>53991.969599999997</v>
      </c>
      <c r="F631" s="132">
        <f>+I459</f>
        <v>2098176</v>
      </c>
      <c r="G631" s="132">
        <f t="shared" si="144"/>
        <v>0</v>
      </c>
      <c r="H631" s="132">
        <f t="shared" si="145"/>
        <v>0</v>
      </c>
      <c r="I631" s="132">
        <f t="shared" si="146"/>
        <v>0</v>
      </c>
    </row>
    <row r="632" spans="1:9">
      <c r="A632" s="133"/>
      <c r="B632" s="134" t="s">
        <v>464</v>
      </c>
      <c r="C632" s="135"/>
      <c r="D632" s="136"/>
      <c r="E632" s="137"/>
      <c r="F632" s="137"/>
      <c r="G632" s="137">
        <f>SUM(G493:G631)</f>
        <v>36419.745600000002</v>
      </c>
      <c r="H632" s="137">
        <f t="shared" ref="H632:I632" si="147">SUM(H493:H631)</f>
        <v>342445.54519999999</v>
      </c>
      <c r="I632" s="138">
        <f t="shared" si="147"/>
        <v>-306025.79959999997</v>
      </c>
    </row>
  </sheetData>
  <mergeCells count="27">
    <mergeCell ref="W47:Y47"/>
    <mergeCell ref="D482:I482"/>
    <mergeCell ref="A470:B470"/>
    <mergeCell ref="A471:B471"/>
    <mergeCell ref="D478:I478"/>
    <mergeCell ref="D479:I479"/>
    <mergeCell ref="D480:I480"/>
    <mergeCell ref="D481:I481"/>
    <mergeCell ref="A469:B469"/>
    <mergeCell ref="A258:B258"/>
    <mergeCell ref="D460:F460"/>
    <mergeCell ref="A463:F463"/>
    <mergeCell ref="A466:B466"/>
    <mergeCell ref="A467:B467"/>
    <mergeCell ref="A468:B468"/>
    <mergeCell ref="L465:N465"/>
    <mergeCell ref="D40:F40"/>
    <mergeCell ref="A42:B42"/>
    <mergeCell ref="A29:B29"/>
    <mergeCell ref="A9:B9"/>
    <mergeCell ref="D11:F11"/>
    <mergeCell ref="A13:B13"/>
    <mergeCell ref="D44:F44"/>
    <mergeCell ref="A46:B46"/>
    <mergeCell ref="A47:B47"/>
    <mergeCell ref="D256:F256"/>
    <mergeCell ref="A257:B257"/>
  </mergeCells>
  <phoneticPr fontId="46" type="noConversion"/>
  <conditionalFormatting sqref="D49:D255">
    <cfRule type="cellIs" dxfId="18" priority="15" operator="equal">
      <formula>0</formula>
    </cfRule>
  </conditionalFormatting>
  <conditionalFormatting sqref="D260:D459">
    <cfRule type="cellIs" dxfId="17" priority="14" operator="equal">
      <formula>0</formula>
    </cfRule>
  </conditionalFormatting>
  <conditionalFormatting sqref="H1:H1048576">
    <cfRule type="cellIs" dxfId="16" priority="1" operator="lessThan">
      <formula>0</formula>
    </cfRule>
  </conditionalFormatting>
  <conditionalFormatting sqref="J482">
    <cfRule type="cellIs" dxfId="15" priority="8" operator="lessThan">
      <formula>0</formula>
    </cfRule>
    <cfRule type="cellIs" dxfId="14" priority="9" operator="greaterThan">
      <formula>0</formula>
    </cfRule>
  </conditionalFormatting>
  <conditionalFormatting sqref="K478">
    <cfRule type="cellIs" dxfId="13" priority="7" operator="equal">
      <formula>$M$481</formula>
    </cfRule>
    <cfRule type="cellIs" dxfId="12" priority="18" operator="equal">
      <formula>$M$483</formula>
    </cfRule>
    <cfRule type="cellIs" dxfId="11" priority="19" operator="equal">
      <formula>$M$482</formula>
    </cfRule>
    <cfRule type="cellIs" dxfId="10" priority="20" operator="equal">
      <formula>$M$480</formula>
    </cfRule>
    <cfRule type="cellIs" dxfId="9" priority="21" operator="equal">
      <formula>$M$479</formula>
    </cfRule>
  </conditionalFormatting>
  <conditionalFormatting sqref="Y49:Y455">
    <cfRule type="cellIs" dxfId="8" priority="17" operator="equal">
      <formula>0</formula>
    </cfRule>
  </conditionalFormatting>
  <conditionalFormatting sqref="AA48">
    <cfRule type="cellIs" dxfId="7" priority="2" operator="equal">
      <formula>$M$481</formula>
    </cfRule>
    <cfRule type="cellIs" dxfId="6" priority="3" operator="equal">
      <formula>$M$483</formula>
    </cfRule>
    <cfRule type="cellIs" dxfId="5" priority="4" operator="equal">
      <formula>$M$482</formula>
    </cfRule>
    <cfRule type="cellIs" dxfId="4" priority="5" operator="equal">
      <formula>$M$480</formula>
    </cfRule>
    <cfRule type="cellIs" dxfId="3" priority="6" operator="equal">
      <formula>$M$479</formula>
    </cfRule>
  </conditionalFormatting>
  <dataValidations count="2">
    <dataValidation type="list" allowBlank="1" showInputMessage="1" showErrorMessage="1" sqref="K478" xr:uid="{00000000-0002-0000-0600-000000000000}">
      <formula1>$M$479:$M$483</formula1>
    </dataValidation>
    <dataValidation type="list" allowBlank="1" showInputMessage="1" showErrorMessage="1" sqref="B4:B5" xr:uid="{00000000-0002-0000-0600-000001000000}">
      <formula1>$Y$7:$Y$24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W412"/>
  <sheetViews>
    <sheetView workbookViewId="0">
      <selection activeCell="I48" sqref="I48:I90"/>
    </sheetView>
  </sheetViews>
  <sheetFormatPr baseColWidth="10" defaultColWidth="11.42578125" defaultRowHeight="13.5"/>
  <cols>
    <col min="1" max="1" width="5.140625" style="77" customWidth="1"/>
    <col min="2" max="2" width="36" style="50" customWidth="1"/>
    <col min="3" max="4" width="13.85546875" style="50" customWidth="1"/>
    <col min="5" max="5" width="11.85546875" style="50" customWidth="1"/>
    <col min="6" max="6" width="12.140625" style="50" customWidth="1"/>
    <col min="7" max="7" width="13.7109375" style="50" customWidth="1"/>
    <col min="8" max="8" width="12.28515625" style="50" customWidth="1"/>
    <col min="9" max="9" width="9" style="50" customWidth="1"/>
    <col min="10" max="10" width="11.85546875" style="50" customWidth="1"/>
    <col min="11" max="11" width="7.85546875" style="50" customWidth="1"/>
    <col min="12" max="12" width="8.5703125" style="50" customWidth="1"/>
    <col min="13" max="13" width="6.28515625" style="358" customWidth="1"/>
    <col min="14" max="14" width="10.85546875" style="50" customWidth="1"/>
    <col min="15" max="15" width="9.42578125" style="50" customWidth="1"/>
    <col min="16" max="16" width="9.28515625" style="50" bestFit="1" customWidth="1"/>
    <col min="17" max="17" width="12.28515625" style="50" bestFit="1" customWidth="1"/>
    <col min="18" max="18" width="7.85546875" style="50" bestFit="1" customWidth="1"/>
    <col min="19" max="19" width="12.42578125" style="50" bestFit="1" customWidth="1"/>
    <col min="20" max="20" width="12.140625" style="50" customWidth="1"/>
    <col min="21" max="16384" width="11.42578125" style="50"/>
  </cols>
  <sheetData>
    <row r="1" spans="1:23" ht="16.5" customHeight="1">
      <c r="D1" s="102"/>
      <c r="E1" s="102"/>
      <c r="F1" s="102"/>
      <c r="G1" s="102"/>
      <c r="H1" s="102"/>
      <c r="I1" s="102" t="s">
        <v>1080</v>
      </c>
      <c r="J1" s="461" t="s">
        <v>571</v>
      </c>
      <c r="K1" s="465">
        <f>+'Evento Cotiz'!B6</f>
        <v>4</v>
      </c>
      <c r="L1" s="598" t="s">
        <v>1063</v>
      </c>
      <c r="M1" s="599"/>
      <c r="N1" s="599"/>
      <c r="O1" s="599"/>
      <c r="P1" s="599"/>
      <c r="Q1" s="599"/>
      <c r="R1" s="599"/>
      <c r="S1" s="599"/>
      <c r="T1" s="599"/>
    </row>
    <row r="2" spans="1:23" ht="44.25" customHeight="1">
      <c r="D2" s="376"/>
      <c r="E2" s="376"/>
      <c r="F2" s="376"/>
      <c r="I2" s="112">
        <f>+'Evento Cotiz'!C10</f>
        <v>0</v>
      </c>
      <c r="J2" s="461" t="s">
        <v>1072</v>
      </c>
      <c r="K2" s="465">
        <f>+'Evento Cotiz'!D6/2</f>
        <v>43</v>
      </c>
      <c r="L2" s="599"/>
      <c r="M2" s="599"/>
      <c r="N2" s="599"/>
      <c r="O2" s="599"/>
      <c r="P2" s="599"/>
      <c r="Q2" s="599"/>
      <c r="R2" s="599"/>
      <c r="S2" s="599"/>
      <c r="T2" s="599"/>
    </row>
    <row r="3" spans="1:23" ht="18.75" thickBot="1">
      <c r="A3" s="572" t="s">
        <v>498</v>
      </c>
      <c r="B3" s="572" t="s">
        <v>443</v>
      </c>
      <c r="C3" s="118"/>
      <c r="L3" s="467" t="s">
        <v>1069</v>
      </c>
      <c r="M3" s="460">
        <f>+'Evento Cotiz'!N467</f>
        <v>1.0101010110841293</v>
      </c>
      <c r="N3" s="462">
        <v>1</v>
      </c>
      <c r="O3" s="450" t="s">
        <v>1070</v>
      </c>
    </row>
    <row r="4" spans="1:23" ht="18.75" thickBot="1">
      <c r="A4" s="417" t="s">
        <v>445</v>
      </c>
      <c r="B4" s="63" t="s">
        <v>446</v>
      </c>
      <c r="C4" s="63" t="s">
        <v>503</v>
      </c>
      <c r="D4" s="414" t="s">
        <v>465</v>
      </c>
      <c r="E4" s="399" t="s">
        <v>469</v>
      </c>
      <c r="F4" s="415" t="s">
        <v>470</v>
      </c>
      <c r="G4" s="426" t="s">
        <v>483</v>
      </c>
      <c r="H4" s="431" t="s">
        <v>471</v>
      </c>
      <c r="I4" s="432" t="s">
        <v>472</v>
      </c>
      <c r="J4" s="437" t="s">
        <v>500</v>
      </c>
      <c r="K4" s="438" t="s">
        <v>1058</v>
      </c>
      <c r="M4" s="468" t="s">
        <v>1068</v>
      </c>
      <c r="N4" s="470">
        <f>SUM(N5:N411)</f>
        <v>35737093.547520012</v>
      </c>
      <c r="O4" s="471">
        <f>SUM(O5:O411)</f>
        <v>18799828.110000003</v>
      </c>
      <c r="P4" s="472">
        <f>+N4-O4</f>
        <v>16937265.437520009</v>
      </c>
      <c r="Q4" s="102"/>
      <c r="R4" s="102"/>
      <c r="S4" s="102"/>
      <c r="T4" s="102"/>
    </row>
    <row r="5" spans="1:23">
      <c r="A5" s="475">
        <v>170</v>
      </c>
      <c r="B5" s="476" t="s">
        <v>189</v>
      </c>
      <c r="C5" s="419" t="s">
        <v>365</v>
      </c>
      <c r="D5" s="424">
        <f>VLOOKUP(A5,'Evento Cotiz'!$W$49:$Y$455,3,FALSE)</f>
        <v>133</v>
      </c>
      <c r="E5" s="421">
        <f>VLOOKUP(A5,'Evento Cotiz'!$A$49:$T$459,12,FALSE)</f>
        <v>40398.630400000002</v>
      </c>
      <c r="F5" s="427">
        <f>VLOOKUP(A5,'Evento Cotiz'!$A$49:$T$459,13,FALSE)</f>
        <v>13884.023999999999</v>
      </c>
      <c r="G5" s="428">
        <f>Tabla1[[#This Row],[Cantidad]]*Tabla1[[#This Row],[P Piso]]</f>
        <v>1846575.192</v>
      </c>
      <c r="H5" s="433">
        <f>Tabla1[[#This Row],[P Piso]]-(Tabla1[[#This Row],[P Piso]]*20%)</f>
        <v>11107.2192</v>
      </c>
      <c r="I5" s="434">
        <f>IF((1-(Tabla1[[#This Row],[P Piso-20%]]/Tabla1[[#This Row],[P Oferta]]))=1,0,1-(Tabla1[[#This Row],[P Piso-20%]]/Tabla1[[#This Row],[P Oferta]]))</f>
        <v>0.72505951092837051</v>
      </c>
      <c r="J5" s="439">
        <f>Tabla1[[#This Row],[P Piso]]-(Tabla1[[#This Row],[P Piso]]*25%)</f>
        <v>10413.018</v>
      </c>
      <c r="K5" s="440">
        <f>IF((1-(Tabla1[[#This Row],[P Piso-25%]]/Tabla1[[#This Row],[P Oferta]]))=1,0,1-(Tabla1[[#This Row],[P Piso-25%]]/Tabla1[[#This Row],[P Oferta]]))</f>
        <v>0.7422432914953474</v>
      </c>
      <c r="L5" s="379"/>
      <c r="M5" s="469">
        <v>1</v>
      </c>
      <c r="N5" s="473">
        <f>+(Tabla1[[#This Row],[P Piso-25%]]*Tabla1[[#This Row],[Cantidad]]*$K$1)*$N$3</f>
        <v>5539725.5760000004</v>
      </c>
      <c r="O5" s="473">
        <v>845325</v>
      </c>
      <c r="P5" s="474"/>
      <c r="Q5" s="381"/>
      <c r="R5" s="380"/>
      <c r="S5" s="381"/>
      <c r="T5" s="106"/>
      <c r="U5" s="107"/>
      <c r="V5" s="82" t="e">
        <f>+#REF!-K5</f>
        <v>#REF!</v>
      </c>
      <c r="W5" s="377">
        <v>1</v>
      </c>
    </row>
    <row r="6" spans="1:23" ht="13.5" customHeight="1">
      <c r="A6" s="477">
        <v>146</v>
      </c>
      <c r="B6" s="478" t="s">
        <v>165</v>
      </c>
      <c r="C6" s="378" t="s">
        <v>365</v>
      </c>
      <c r="D6" s="387">
        <f>VLOOKUP(A6,'Evento Cotiz'!$W$49:$Y$455,3,FALSE)</f>
        <v>80</v>
      </c>
      <c r="E6" s="422">
        <f>VLOOKUP(A6,'Evento Cotiz'!$A$49:$T$459,12,FALSE)</f>
        <v>29989.7104</v>
      </c>
      <c r="F6" s="427">
        <f>VLOOKUP(A6,'Evento Cotiz'!$A$49:$T$459,13,FALSE)</f>
        <v>17995.137599999998</v>
      </c>
      <c r="G6" s="428">
        <f>Tabla1[[#This Row],[Cantidad]]*Tabla1[[#This Row],[P Piso]]</f>
        <v>1439611.0079999999</v>
      </c>
      <c r="H6" s="433">
        <f>Tabla1[[#This Row],[P Piso]]-(Tabla1[[#This Row],[P Piso]]*20%)</f>
        <v>14396.110079999999</v>
      </c>
      <c r="I6" s="434">
        <f>IF((1-(Tabla1[[#This Row],[P Piso-20%]]/Tabla1[[#This Row],[P Oferta]]))=1,0,1-(Tabla1[[#This Row],[P Piso-20%]]/Tabla1[[#This Row],[P Oferta]]))</f>
        <v>0.51996501840177833</v>
      </c>
      <c r="J6" s="439">
        <f>Tabla1[[#This Row],[P Piso]]-(Tabla1[[#This Row],[P Piso]]*25%)</f>
        <v>13496.353199999998</v>
      </c>
      <c r="K6" s="440">
        <f>IF((1-(Tabla1[[#This Row],[P Piso-25%]]/Tabla1[[#This Row],[P Oferta]]))=1,0,1-(Tabla1[[#This Row],[P Piso-25%]]/Tabla1[[#This Row],[P Oferta]]))</f>
        <v>0.54996720475166716</v>
      </c>
      <c r="L6" s="379"/>
      <c r="M6" s="469">
        <v>2</v>
      </c>
      <c r="N6" s="473">
        <f>+(Tabla1[[#This Row],[P Piso-25%]]*Tabla1[[#This Row],[Cantidad]]*$K$1)*$N$3</f>
        <v>4318833.0239999993</v>
      </c>
      <c r="O6" s="473">
        <v>176474.61000000002</v>
      </c>
      <c r="P6" s="474"/>
      <c r="Q6" s="381"/>
      <c r="R6" s="380"/>
      <c r="S6" s="381"/>
      <c r="T6" s="106"/>
      <c r="U6" s="107"/>
      <c r="W6" s="377">
        <v>0</v>
      </c>
    </row>
    <row r="7" spans="1:23" ht="13.5" customHeight="1">
      <c r="A7" s="477">
        <v>193</v>
      </c>
      <c r="B7" s="478" t="s">
        <v>212</v>
      </c>
      <c r="C7" s="378" t="s">
        <v>365</v>
      </c>
      <c r="D7" s="387">
        <f>VLOOKUP(A7,'Evento Cotiz'!$W$49:$Y$455,3,FALSE)</f>
        <v>65</v>
      </c>
      <c r="E7" s="422">
        <f>VLOOKUP(A7,'Evento Cotiz'!$A$49:$T$459,12,FALSE)</f>
        <v>25379.1872</v>
      </c>
      <c r="F7" s="427">
        <f>VLOOKUP(A7,'Evento Cotiz'!$A$49:$T$459,13,FALSE)</f>
        <v>10383.785599999999</v>
      </c>
      <c r="G7" s="428">
        <f>Tabla1[[#This Row],[Cantidad]]*Tabla1[[#This Row],[P Piso]]</f>
        <v>674946.0639999999</v>
      </c>
      <c r="H7" s="433">
        <f>Tabla1[[#This Row],[P Piso]]-(Tabla1[[#This Row],[P Piso]]*20%)</f>
        <v>8307.028479999999</v>
      </c>
      <c r="I7" s="434">
        <f>IF((1-(Tabla1[[#This Row],[P Piso-20%]]/Tabla1[[#This Row],[P Oferta]]))=1,0,1-(Tabla1[[#This Row],[P Piso-20%]]/Tabla1[[#This Row],[P Oferta]]))</f>
        <v>0.67268343093351701</v>
      </c>
      <c r="J7" s="439">
        <f>Tabla1[[#This Row],[P Piso]]-(Tabla1[[#This Row],[P Piso]]*25%)</f>
        <v>7787.8391999999994</v>
      </c>
      <c r="K7" s="440">
        <f>IF((1-(Tabla1[[#This Row],[P Piso-25%]]/Tabla1[[#This Row],[P Oferta]]))=1,0,1-(Tabla1[[#This Row],[P Piso-25%]]/Tabla1[[#This Row],[P Oferta]]))</f>
        <v>0.69314071650017228</v>
      </c>
      <c r="L7" s="379"/>
      <c r="M7" s="469">
        <v>3</v>
      </c>
      <c r="N7" s="473">
        <f>+(Tabla1[[#This Row],[P Piso-25%]]*Tabla1[[#This Row],[Cantidad]]*$K$1)*$N$3</f>
        <v>2024838.1919999998</v>
      </c>
      <c r="O7" s="473">
        <v>906355.44000000006</v>
      </c>
      <c r="P7" s="474"/>
      <c r="Q7" s="381"/>
      <c r="R7" s="380"/>
      <c r="S7" s="381"/>
      <c r="T7" s="106"/>
      <c r="U7" s="107"/>
      <c r="W7" s="377">
        <v>0</v>
      </c>
    </row>
    <row r="8" spans="1:23" ht="13.5" customHeight="1">
      <c r="A8" s="477">
        <v>30</v>
      </c>
      <c r="B8" s="478" t="s">
        <v>49</v>
      </c>
      <c r="C8" s="378" t="s">
        <v>365</v>
      </c>
      <c r="D8" s="387">
        <f>VLOOKUP(A8,'Evento Cotiz'!$W$49:$Y$455,3,FALSE)</f>
        <v>119</v>
      </c>
      <c r="E8" s="422">
        <f>VLOOKUP(A8,'Evento Cotiz'!$A$49:$T$459,12,FALSE)</f>
        <v>11409.924800000001</v>
      </c>
      <c r="F8" s="427">
        <f>VLOOKUP(A8,'Evento Cotiz'!$A$49:$T$459,13,FALSE)</f>
        <v>5533.9391999999998</v>
      </c>
      <c r="G8" s="428">
        <f>Tabla1[[#This Row],[Cantidad]]*Tabla1[[#This Row],[P Piso]]</f>
        <v>658538.7648</v>
      </c>
      <c r="H8" s="433">
        <f>Tabla1[[#This Row],[P Piso]]-(Tabla1[[#This Row],[P Piso]]*20%)</f>
        <v>4427.1513599999998</v>
      </c>
      <c r="I8" s="434">
        <f>IF((1-(Tabla1[[#This Row],[P Piso-20%]]/Tabla1[[#This Row],[P Oferta]]))=1,0,1-(Tabla1[[#This Row],[P Piso-20%]]/Tabla1[[#This Row],[P Oferta]]))</f>
        <v>0.61199118858346901</v>
      </c>
      <c r="J8" s="439">
        <f>Tabla1[[#This Row],[P Piso]]-(Tabla1[[#This Row],[P Piso]]*25%)</f>
        <v>4150.4543999999996</v>
      </c>
      <c r="K8" s="440">
        <f>IF((1-(Tabla1[[#This Row],[P Piso-25%]]/Tabla1[[#This Row],[P Oferta]]))=1,0,1-(Tabla1[[#This Row],[P Piso-25%]]/Tabla1[[#This Row],[P Oferta]]))</f>
        <v>0.63624173929700234</v>
      </c>
      <c r="L8" s="379"/>
      <c r="M8" s="469">
        <v>4</v>
      </c>
      <c r="N8" s="473">
        <f>+(Tabla1[[#This Row],[P Piso-25%]]*Tabla1[[#This Row],[Cantidad]]*$K$1)*$N$3</f>
        <v>1975616.2943999998</v>
      </c>
      <c r="O8" s="473">
        <v>1156781.52</v>
      </c>
      <c r="P8" s="474"/>
      <c r="Q8" s="381"/>
      <c r="R8" s="380"/>
      <c r="S8" s="381"/>
      <c r="T8" s="106"/>
      <c r="U8" s="107"/>
      <c r="W8" s="377">
        <v>0</v>
      </c>
    </row>
    <row r="9" spans="1:23" ht="13.5" customHeight="1">
      <c r="A9" s="477">
        <v>3</v>
      </c>
      <c r="B9" s="478" t="s">
        <v>23</v>
      </c>
      <c r="C9" s="378" t="s">
        <v>365</v>
      </c>
      <c r="D9" s="387">
        <f>VLOOKUP(A9,'Evento Cotiz'!$W$49:$Y$455,3,FALSE)</f>
        <v>105</v>
      </c>
      <c r="E9" s="422">
        <f>VLOOKUP(A9,'Evento Cotiz'!$A$49:$T$459,12,FALSE)</f>
        <v>13178.075199999999</v>
      </c>
      <c r="F9" s="427">
        <f>VLOOKUP(A9,'Evento Cotiz'!$A$49:$T$459,13,FALSE)</f>
        <v>6118.5871999999999</v>
      </c>
      <c r="G9" s="428">
        <f>Tabla1[[#This Row],[Cantidad]]*Tabla1[[#This Row],[P Piso]]</f>
        <v>642451.65599999996</v>
      </c>
      <c r="H9" s="433">
        <f>Tabla1[[#This Row],[P Piso]]-(Tabla1[[#This Row],[P Piso]]*20%)</f>
        <v>4894.8697599999996</v>
      </c>
      <c r="I9" s="434">
        <f>IF((1-(Tabla1[[#This Row],[P Piso-20%]]/Tabla1[[#This Row],[P Oferta]]))=1,0,1-(Tabla1[[#This Row],[P Piso-20%]]/Tabla1[[#This Row],[P Oferta]]))</f>
        <v>0.62855958205489681</v>
      </c>
      <c r="J9" s="439">
        <f>Tabla1[[#This Row],[P Piso]]-(Tabla1[[#This Row],[P Piso]]*25%)</f>
        <v>4588.9403999999995</v>
      </c>
      <c r="K9" s="440">
        <f>IF((1-(Tabla1[[#This Row],[P Piso-25%]]/Tabla1[[#This Row],[P Oferta]]))=1,0,1-(Tabla1[[#This Row],[P Piso-25%]]/Tabla1[[#This Row],[P Oferta]]))</f>
        <v>0.65177460817646571</v>
      </c>
      <c r="L9" s="379"/>
      <c r="M9" s="469">
        <v>5</v>
      </c>
      <c r="N9" s="473">
        <f>+(Tabla1[[#This Row],[P Piso-25%]]*Tabla1[[#This Row],[Cantidad]]*$K$1)*$N$3</f>
        <v>1927354.9679999999</v>
      </c>
      <c r="O9" s="473">
        <v>706218.48</v>
      </c>
      <c r="P9" s="474"/>
      <c r="Q9" s="381"/>
      <c r="R9" s="380"/>
      <c r="S9" s="381"/>
      <c r="T9" s="106"/>
      <c r="U9" s="107"/>
      <c r="W9" s="377">
        <v>0</v>
      </c>
    </row>
    <row r="10" spans="1:23" ht="13.5" customHeight="1">
      <c r="A10" s="477">
        <v>19</v>
      </c>
      <c r="B10" s="478" t="s">
        <v>39</v>
      </c>
      <c r="C10" s="378" t="s">
        <v>365</v>
      </c>
      <c r="D10" s="387">
        <f>VLOOKUP(A10,'Evento Cotiz'!$W$49:$Y$455,3,FALSE)</f>
        <v>80</v>
      </c>
      <c r="E10" s="422">
        <f>VLOOKUP(A10,'Evento Cotiz'!$A$49:$T$459,12,FALSE)</f>
        <v>16268.5136</v>
      </c>
      <c r="F10" s="427">
        <f>VLOOKUP(A10,'Evento Cotiz'!$A$49:$T$459,13,FALSE)</f>
        <v>7491.1440000000002</v>
      </c>
      <c r="G10" s="428">
        <f>Tabla1[[#This Row],[Cantidad]]*Tabla1[[#This Row],[P Piso]]</f>
        <v>599291.52</v>
      </c>
      <c r="H10" s="433">
        <f>Tabla1[[#This Row],[P Piso]]-(Tabla1[[#This Row],[P Piso]]*20%)</f>
        <v>5992.9152000000004</v>
      </c>
      <c r="I10" s="434">
        <f>IF((1-(Tabla1[[#This Row],[P Piso-20%]]/Tabla1[[#This Row],[P Oferta]]))=1,0,1-(Tabla1[[#This Row],[P Piso-20%]]/Tabla1[[#This Row],[P Oferta]]))</f>
        <v>0.63162490763753609</v>
      </c>
      <c r="J10" s="439">
        <f>Tabla1[[#This Row],[P Piso]]-(Tabla1[[#This Row],[P Piso]]*25%)</f>
        <v>5618.3580000000002</v>
      </c>
      <c r="K10" s="440">
        <f>IF((1-(Tabla1[[#This Row],[P Piso-25%]]/Tabla1[[#This Row],[P Oferta]]))=1,0,1-(Tabla1[[#This Row],[P Piso-25%]]/Tabla1[[#This Row],[P Oferta]]))</f>
        <v>0.65464835091019014</v>
      </c>
      <c r="L10" s="379"/>
      <c r="M10" s="469">
        <v>6</v>
      </c>
      <c r="N10" s="473">
        <f>+(Tabla1[[#This Row],[P Piso-25%]]*Tabla1[[#This Row],[Cantidad]]*$K$1)*$N$3</f>
        <v>1797874.56</v>
      </c>
      <c r="O10" s="473">
        <v>616170.23999999999</v>
      </c>
      <c r="P10" s="474"/>
      <c r="Q10" s="381"/>
      <c r="R10" s="380"/>
      <c r="S10" s="381"/>
      <c r="T10" s="106"/>
      <c r="U10" s="107"/>
      <c r="W10" s="377">
        <v>0</v>
      </c>
    </row>
    <row r="11" spans="1:23" ht="13.5" customHeight="1">
      <c r="A11" s="477">
        <v>12</v>
      </c>
      <c r="B11" s="478" t="s">
        <v>32</v>
      </c>
      <c r="C11" s="378" t="s">
        <v>365</v>
      </c>
      <c r="D11" s="387">
        <f>VLOOKUP(A11,'Evento Cotiz'!$W$49:$Y$455,3,FALSE)</f>
        <v>80</v>
      </c>
      <c r="E11" s="422">
        <f>VLOOKUP(A11,'Evento Cotiz'!$A$49:$T$459,12,FALSE)</f>
        <v>16466.310399999998</v>
      </c>
      <c r="F11" s="427">
        <f>VLOOKUP(A11,'Evento Cotiz'!$A$49:$T$459,13,FALSE)</f>
        <v>6766.6175999999996</v>
      </c>
      <c r="G11" s="428">
        <f>Tabla1[[#This Row],[Cantidad]]*Tabla1[[#This Row],[P Piso]]</f>
        <v>541329.40799999994</v>
      </c>
      <c r="H11" s="433">
        <f>Tabla1[[#This Row],[P Piso]]-(Tabla1[[#This Row],[P Piso]]*20%)</f>
        <v>5413.2940799999997</v>
      </c>
      <c r="I11" s="434">
        <f>IF((1-(Tabla1[[#This Row],[P Piso-20%]]/Tabla1[[#This Row],[P Oferta]]))=1,0,1-(Tabla1[[#This Row],[P Piso-20%]]/Tabla1[[#This Row],[P Oferta]]))</f>
        <v>0.6712503318290417</v>
      </c>
      <c r="J11" s="439">
        <f>Tabla1[[#This Row],[P Piso]]-(Tabla1[[#This Row],[P Piso]]*25%)</f>
        <v>5074.9632000000001</v>
      </c>
      <c r="K11" s="440">
        <f>IF((1-(Tabla1[[#This Row],[P Piso-25%]]/Tabla1[[#This Row],[P Oferta]]))=1,0,1-(Tabla1[[#This Row],[P Piso-25%]]/Tabla1[[#This Row],[P Oferta]]))</f>
        <v>0.69179718608972651</v>
      </c>
      <c r="L11" s="379"/>
      <c r="M11" s="469">
        <v>7</v>
      </c>
      <c r="N11" s="473">
        <f>+(Tabla1[[#This Row],[P Piso-25%]]*Tabla1[[#This Row],[Cantidad]]*$K$1)*$N$3</f>
        <v>1623988.2239999999</v>
      </c>
      <c r="O11" s="473">
        <v>854550</v>
      </c>
      <c r="P11" s="474"/>
      <c r="Q11" s="381"/>
      <c r="R11" s="380"/>
      <c r="S11" s="381"/>
      <c r="T11" s="106"/>
      <c r="U11" s="107"/>
      <c r="W11" s="377">
        <v>0</v>
      </c>
    </row>
    <row r="12" spans="1:23" ht="13.5" customHeight="1">
      <c r="A12" s="477">
        <v>15</v>
      </c>
      <c r="B12" s="478" t="s">
        <v>35</v>
      </c>
      <c r="C12" s="378" t="s">
        <v>365</v>
      </c>
      <c r="D12" s="387">
        <f>VLOOKUP(A12,'Evento Cotiz'!$W$49:$Y$455,3,FALSE)</f>
        <v>80</v>
      </c>
      <c r="E12" s="422">
        <f>VLOOKUP(A12,'Evento Cotiz'!$A$49:$T$459,12,FALSE)</f>
        <v>15044.577600000001</v>
      </c>
      <c r="F12" s="427">
        <f>VLOOKUP(A12,'Evento Cotiz'!$A$49:$T$459,13,FALSE)</f>
        <v>5869.4287999999997</v>
      </c>
      <c r="G12" s="428">
        <f>Tabla1[[#This Row],[Cantidad]]*Tabla1[[#This Row],[P Piso]]</f>
        <v>469554.304</v>
      </c>
      <c r="H12" s="433">
        <f>Tabla1[[#This Row],[P Piso]]-(Tabla1[[#This Row],[P Piso]]*20%)</f>
        <v>4695.5430399999996</v>
      </c>
      <c r="I12" s="434">
        <f>IF((1-(Tabla1[[#This Row],[P Piso-20%]]/Tabla1[[#This Row],[P Oferta]]))=1,0,1-(Tabla1[[#This Row],[P Piso-20%]]/Tabla1[[#This Row],[P Oferta]]))</f>
        <v>0.68789133435025795</v>
      </c>
      <c r="J12" s="439">
        <f>Tabla1[[#This Row],[P Piso]]-(Tabla1[[#This Row],[P Piso]]*25%)</f>
        <v>4402.0715999999993</v>
      </c>
      <c r="K12" s="440">
        <f>IF((1-(Tabla1[[#This Row],[P Piso-25%]]/Tabla1[[#This Row],[P Oferta]]))=1,0,1-(Tabla1[[#This Row],[P Piso-25%]]/Tabla1[[#This Row],[P Oferta]]))</f>
        <v>0.70739812595336682</v>
      </c>
      <c r="L12" s="379"/>
      <c r="M12" s="469">
        <v>8</v>
      </c>
      <c r="N12" s="473">
        <f>+(Tabla1[[#This Row],[P Piso-25%]]*Tabla1[[#This Row],[Cantidad]]*$K$1)*$N$3</f>
        <v>1408662.9119999998</v>
      </c>
      <c r="O12" s="473">
        <v>169260.38999999998</v>
      </c>
      <c r="P12" s="474"/>
      <c r="Q12" s="381"/>
      <c r="R12" s="380"/>
      <c r="S12" s="381"/>
      <c r="T12" s="106"/>
      <c r="U12" s="107"/>
      <c r="W12" s="377">
        <v>0</v>
      </c>
    </row>
    <row r="13" spans="1:23" ht="13.5" customHeight="1">
      <c r="A13" s="477">
        <v>22</v>
      </c>
      <c r="B13" s="478" t="s">
        <v>42</v>
      </c>
      <c r="C13" s="378" t="s">
        <v>365</v>
      </c>
      <c r="D13" s="387">
        <f>VLOOKUP(A13,'Evento Cotiz'!$W$49:$Y$455,3,FALSE)</f>
        <v>76</v>
      </c>
      <c r="E13" s="422">
        <f>VLOOKUP(A13,'Evento Cotiz'!$A$49:$T$459,12,FALSE)</f>
        <v>14463.208000000001</v>
      </c>
      <c r="F13" s="427">
        <f>VLOOKUP(A13,'Evento Cotiz'!$A$49:$T$459,13,FALSE)</f>
        <v>5957.9456</v>
      </c>
      <c r="G13" s="428">
        <f>Tabla1[[#This Row],[Cantidad]]*Tabla1[[#This Row],[P Piso]]</f>
        <v>452803.86560000002</v>
      </c>
      <c r="H13" s="433">
        <f>Tabla1[[#This Row],[P Piso]]-(Tabla1[[#This Row],[P Piso]]*20%)</f>
        <v>4766.3564800000004</v>
      </c>
      <c r="I13" s="434">
        <f>IF((1-(Tabla1[[#This Row],[P Piso-20%]]/Tabla1[[#This Row],[P Oferta]]))=1,0,1-(Tabla1[[#This Row],[P Piso-20%]]/Tabla1[[#This Row],[P Oferta]]))</f>
        <v>0.67044956554590107</v>
      </c>
      <c r="J13" s="439">
        <f>Tabla1[[#This Row],[P Piso]]-(Tabla1[[#This Row],[P Piso]]*25%)</f>
        <v>4468.4592000000002</v>
      </c>
      <c r="K13" s="440">
        <f>IF((1-(Tabla1[[#This Row],[P Piso-25%]]/Tabla1[[#This Row],[P Oferta]]))=1,0,1-(Tabla1[[#This Row],[P Piso-25%]]/Tabla1[[#This Row],[P Oferta]]))</f>
        <v>0.69104646769928224</v>
      </c>
      <c r="L13" s="379"/>
      <c r="M13" s="469">
        <v>9</v>
      </c>
      <c r="N13" s="473">
        <f>+(Tabla1[[#This Row],[P Piso-25%]]*Tabla1[[#This Row],[Cantidad]]*$K$1)*$N$3</f>
        <v>1358411.5968000002</v>
      </c>
      <c r="O13" s="473">
        <v>1860468.75</v>
      </c>
      <c r="P13" s="474"/>
      <c r="Q13" s="381"/>
      <c r="R13" s="380"/>
      <c r="S13" s="381"/>
      <c r="T13" s="106"/>
      <c r="U13" s="107"/>
      <c r="W13" s="377">
        <v>0</v>
      </c>
    </row>
    <row r="14" spans="1:23" ht="13.5" customHeight="1">
      <c r="A14" s="477">
        <v>48</v>
      </c>
      <c r="B14" s="478" t="s">
        <v>67</v>
      </c>
      <c r="C14" s="378" t="s">
        <v>365</v>
      </c>
      <c r="D14" s="387">
        <f>VLOOKUP(A14,'Evento Cotiz'!$W$49:$Y$455,3,FALSE)</f>
        <v>13</v>
      </c>
      <c r="E14" s="422">
        <f>VLOOKUP(A14,'Evento Cotiz'!$A$49:$T$459,12,FALSE)</f>
        <v>77866.371199999994</v>
      </c>
      <c r="F14" s="427">
        <f>VLOOKUP(A14,'Evento Cotiz'!$A$49:$T$459,13,FALSE)</f>
        <v>33487.763200000001</v>
      </c>
      <c r="G14" s="428">
        <f>Tabla1[[#This Row],[Cantidad]]*Tabla1[[#This Row],[P Piso]]</f>
        <v>435340.9216</v>
      </c>
      <c r="H14" s="433">
        <f>Tabla1[[#This Row],[P Piso]]-(Tabla1[[#This Row],[P Piso]]*20%)</f>
        <v>26790.21056</v>
      </c>
      <c r="I14" s="434">
        <f>IF((1-(Tabla1[[#This Row],[P Piso-20%]]/Tabla1[[#This Row],[P Oferta]]))=1,0,1-(Tabla1[[#This Row],[P Piso-20%]]/Tabla1[[#This Row],[P Oferta]]))</f>
        <v>0.65594633283745474</v>
      </c>
      <c r="J14" s="439">
        <f>Tabla1[[#This Row],[P Piso]]-(Tabla1[[#This Row],[P Piso]]*25%)</f>
        <v>25115.822400000001</v>
      </c>
      <c r="K14" s="440">
        <f>IF((1-(Tabla1[[#This Row],[P Piso-25%]]/Tabla1[[#This Row],[P Oferta]]))=1,0,1-(Tabla1[[#This Row],[P Piso-25%]]/Tabla1[[#This Row],[P Oferta]]))</f>
        <v>0.67744968703511377</v>
      </c>
      <c r="L14" s="379"/>
      <c r="M14" s="469">
        <v>10</v>
      </c>
      <c r="N14" s="473">
        <f>+(Tabla1[[#This Row],[P Piso-25%]]*Tabla1[[#This Row],[Cantidad]]*$K$1)*$N$3</f>
        <v>1306022.7648</v>
      </c>
      <c r="O14" s="473">
        <v>459660.05999999994</v>
      </c>
      <c r="P14" s="474"/>
      <c r="Q14" s="381"/>
      <c r="R14" s="380"/>
      <c r="S14" s="381"/>
      <c r="T14" s="106"/>
      <c r="U14" s="107"/>
      <c r="W14" s="377">
        <v>0</v>
      </c>
    </row>
    <row r="15" spans="1:23">
      <c r="A15" s="477">
        <v>21</v>
      </c>
      <c r="B15" s="478" t="s">
        <v>41</v>
      </c>
      <c r="C15" s="378" t="s">
        <v>365</v>
      </c>
      <c r="D15" s="387">
        <f>VLOOKUP(A15,'Evento Cotiz'!$W$49:$Y$455,3,FALSE)</f>
        <v>88</v>
      </c>
      <c r="E15" s="422">
        <f>VLOOKUP(A15,'Evento Cotiz'!$A$49:$T$459,12,FALSE)</f>
        <v>9876.7263999999996</v>
      </c>
      <c r="F15" s="427">
        <f>VLOOKUP(A15,'Evento Cotiz'!$A$49:$T$459,13,FALSE)</f>
        <v>4766.7936</v>
      </c>
      <c r="G15" s="428">
        <f>Tabla1[[#This Row],[Cantidad]]*Tabla1[[#This Row],[P Piso]]</f>
        <v>419477.83679999999</v>
      </c>
      <c r="H15" s="433">
        <f>Tabla1[[#This Row],[P Piso]]-(Tabla1[[#This Row],[P Piso]]*20%)</f>
        <v>3813.4348799999998</v>
      </c>
      <c r="I15" s="434">
        <f>IF((1-(Tabla1[[#This Row],[P Piso-20%]]/Tabla1[[#This Row],[P Oferta]]))=1,0,1-(Tabla1[[#This Row],[P Piso-20%]]/Tabla1[[#This Row],[P Oferta]]))</f>
        <v>0.61389687984067276</v>
      </c>
      <c r="J15" s="439">
        <f>Tabla1[[#This Row],[P Piso]]-(Tabla1[[#This Row],[P Piso]]*25%)</f>
        <v>3575.0951999999997</v>
      </c>
      <c r="K15" s="440">
        <f>IF((1-(Tabla1[[#This Row],[P Piso-25%]]/Tabla1[[#This Row],[P Oferta]]))=1,0,1-(Tabla1[[#This Row],[P Piso-25%]]/Tabla1[[#This Row],[P Oferta]]))</f>
        <v>0.63802832485063066</v>
      </c>
      <c r="L15" s="379"/>
      <c r="M15" s="469">
        <v>11</v>
      </c>
      <c r="N15" s="473">
        <f>+(Tabla1[[#This Row],[P Piso-25%]]*Tabla1[[#This Row],[Cantidad]]*$K$1)*$N$3</f>
        <v>1258433.5104</v>
      </c>
      <c r="O15" s="473">
        <v>542587.5</v>
      </c>
      <c r="P15" s="474"/>
      <c r="Q15" s="381"/>
      <c r="R15" s="380"/>
      <c r="S15" s="381"/>
      <c r="T15" s="106"/>
      <c r="U15" s="107"/>
      <c r="W15" s="377">
        <v>2</v>
      </c>
    </row>
    <row r="16" spans="1:23" ht="13.5" customHeight="1">
      <c r="A16" s="477">
        <v>144</v>
      </c>
      <c r="B16" s="478" t="s">
        <v>163</v>
      </c>
      <c r="C16" s="378" t="s">
        <v>365</v>
      </c>
      <c r="D16" s="387">
        <f>VLOOKUP(A16,'Evento Cotiz'!$W$49:$Y$455,3,FALSE)</f>
        <v>41</v>
      </c>
      <c r="E16" s="422">
        <f>VLOOKUP(A16,'Evento Cotiz'!$A$49:$T$459,12,FALSE)</f>
        <v>17949.239999999998</v>
      </c>
      <c r="F16" s="427">
        <f>VLOOKUP(A16,'Evento Cotiz'!$A$49:$T$459,13,FALSE)</f>
        <v>9881.0975999999991</v>
      </c>
      <c r="G16" s="428">
        <f>Tabla1[[#This Row],[Cantidad]]*Tabla1[[#This Row],[P Piso]]</f>
        <v>405125.00159999996</v>
      </c>
      <c r="H16" s="433">
        <f>Tabla1[[#This Row],[P Piso]]-(Tabla1[[#This Row],[P Piso]]*20%)</f>
        <v>7904.8780799999995</v>
      </c>
      <c r="I16" s="434">
        <f>IF((1-(Tabla1[[#This Row],[P Piso-20%]]/Tabla1[[#This Row],[P Oferta]]))=1,0,1-(Tabla1[[#This Row],[P Piso-20%]]/Tabla1[[#This Row],[P Oferta]]))</f>
        <v>0.55959817351598173</v>
      </c>
      <c r="J16" s="439">
        <f>Tabla1[[#This Row],[P Piso]]-(Tabla1[[#This Row],[P Piso]]*25%)</f>
        <v>7410.8231999999989</v>
      </c>
      <c r="K16" s="440">
        <f>IF((1-(Tabla1[[#This Row],[P Piso-25%]]/Tabla1[[#This Row],[P Oferta]]))=1,0,1-(Tabla1[[#This Row],[P Piso-25%]]/Tabla1[[#This Row],[P Oferta]]))</f>
        <v>0.5871232876712329</v>
      </c>
      <c r="L16" s="379"/>
      <c r="M16" s="469">
        <v>12</v>
      </c>
      <c r="N16" s="473">
        <f>+(Tabla1[[#This Row],[P Piso-25%]]*Tabla1[[#This Row],[Cantidad]]*$K$1)*$N$3</f>
        <v>1215375.0047999998</v>
      </c>
      <c r="O16" s="473">
        <v>620409.24</v>
      </c>
      <c r="P16" s="474"/>
      <c r="Q16" s="381"/>
      <c r="R16" s="380"/>
      <c r="S16" s="381"/>
      <c r="T16" s="106"/>
      <c r="U16" s="107"/>
      <c r="W16" s="377">
        <v>0</v>
      </c>
    </row>
    <row r="17" spans="1:23">
      <c r="A17" s="477">
        <v>27</v>
      </c>
      <c r="B17" s="478" t="s">
        <v>46</v>
      </c>
      <c r="C17" s="378" t="s">
        <v>365</v>
      </c>
      <c r="D17" s="387">
        <f>VLOOKUP(A17,'Evento Cotiz'!$W$49:$Y$455,3,FALSE)</f>
        <v>80</v>
      </c>
      <c r="E17" s="422">
        <f>VLOOKUP(A17,'Evento Cotiz'!$A$49:$T$459,12,FALSE)</f>
        <v>11595.700800000001</v>
      </c>
      <c r="F17" s="427">
        <f>VLOOKUP(A17,'Evento Cotiz'!$A$49:$T$459,13,FALSE)</f>
        <v>4560.2543999999998</v>
      </c>
      <c r="G17" s="428">
        <f>Tabla1[[#This Row],[Cantidad]]*Tabla1[[#This Row],[P Piso]]</f>
        <v>364820.35199999996</v>
      </c>
      <c r="H17" s="433">
        <f>Tabla1[[#This Row],[P Piso]]-(Tabla1[[#This Row],[P Piso]]*20%)</f>
        <v>3648.20352</v>
      </c>
      <c r="I17" s="434">
        <f>IF((1-(Tabla1[[#This Row],[P Piso-20%]]/Tabla1[[#This Row],[P Oferta]]))=1,0,1-(Tabla1[[#This Row],[P Piso-20%]]/Tabla1[[#This Row],[P Oferta]]))</f>
        <v>0.68538309301668088</v>
      </c>
      <c r="J17" s="439">
        <f>Tabla1[[#This Row],[P Piso]]-(Tabla1[[#This Row],[P Piso]]*25%)</f>
        <v>3420.1907999999999</v>
      </c>
      <c r="K17" s="440">
        <f>IF((1-(Tabla1[[#This Row],[P Piso-25%]]/Tabla1[[#This Row],[P Oferta]]))=1,0,1-(Tabla1[[#This Row],[P Piso-25%]]/Tabla1[[#This Row],[P Oferta]]))</f>
        <v>0.70504664970313824</v>
      </c>
      <c r="L17" s="379"/>
      <c r="M17" s="469">
        <v>13</v>
      </c>
      <c r="N17" s="473">
        <f>+(Tabla1[[#This Row],[P Piso-25%]]*Tabla1[[#This Row],[Cantidad]]*$K$1)*$N$3</f>
        <v>1094461.0559999999</v>
      </c>
      <c r="O17" s="473">
        <v>103050.35999999999</v>
      </c>
      <c r="P17" s="474"/>
      <c r="Q17" s="381"/>
      <c r="R17" s="380"/>
      <c r="S17" s="381"/>
      <c r="T17" s="106"/>
      <c r="U17" s="107"/>
      <c r="W17" s="377">
        <v>1</v>
      </c>
    </row>
    <row r="18" spans="1:23" ht="13.5" customHeight="1">
      <c r="A18" s="477">
        <v>60</v>
      </c>
      <c r="B18" s="478" t="s">
        <v>79</v>
      </c>
      <c r="C18" s="378" t="s">
        <v>365</v>
      </c>
      <c r="D18" s="387">
        <f>VLOOKUP(A18,'Evento Cotiz'!$W$49:$Y$455,3,FALSE)</f>
        <v>50</v>
      </c>
      <c r="E18" s="422">
        <f>VLOOKUP(A18,'Evento Cotiz'!$A$49:$T$459,12,FALSE)</f>
        <v>12386.887999999999</v>
      </c>
      <c r="F18" s="427">
        <f>VLOOKUP(A18,'Evento Cotiz'!$A$49:$T$459,13,FALSE)</f>
        <v>6023.5136000000002</v>
      </c>
      <c r="G18" s="428">
        <f>Tabla1[[#This Row],[Cantidad]]*Tabla1[[#This Row],[P Piso]]</f>
        <v>301175.67999999999</v>
      </c>
      <c r="H18" s="433">
        <f>Tabla1[[#This Row],[P Piso]]-(Tabla1[[#This Row],[P Piso]]*20%)</f>
        <v>4818.81088</v>
      </c>
      <c r="I18" s="434">
        <f>IF((1-(Tabla1[[#This Row],[P Piso-20%]]/Tabla1[[#This Row],[P Oferta]]))=1,0,1-(Tabla1[[#This Row],[P Piso-20%]]/Tabla1[[#This Row],[P Oferta]]))</f>
        <v>0.61097485663872964</v>
      </c>
      <c r="J18" s="439">
        <f>Tabla1[[#This Row],[P Piso]]-(Tabla1[[#This Row],[P Piso]]*25%)</f>
        <v>4517.6352000000006</v>
      </c>
      <c r="K18" s="440">
        <f>IF((1-(Tabla1[[#This Row],[P Piso-25%]]/Tabla1[[#This Row],[P Oferta]]))=1,0,1-(Tabla1[[#This Row],[P Piso-25%]]/Tabla1[[#This Row],[P Oferta]]))</f>
        <v>0.63528892809880899</v>
      </c>
      <c r="L18" s="379"/>
      <c r="M18" s="469">
        <v>14</v>
      </c>
      <c r="N18" s="473">
        <f>+(Tabla1[[#This Row],[Cantidad]]*Tabla1[[#This Row],[P Piso-20%]]*$K$1)*$N$3</f>
        <v>963762.17599999998</v>
      </c>
      <c r="O18" s="473">
        <v>127259.63999999998</v>
      </c>
      <c r="P18" s="474"/>
      <c r="Q18" s="381"/>
      <c r="R18" s="380"/>
      <c r="S18" s="381"/>
      <c r="T18" s="106"/>
      <c r="U18" s="107"/>
      <c r="W18" s="377">
        <v>0</v>
      </c>
    </row>
    <row r="19" spans="1:23">
      <c r="A19" s="477">
        <v>367</v>
      </c>
      <c r="B19" s="478" t="s">
        <v>341</v>
      </c>
      <c r="C19" s="378" t="s">
        <v>366</v>
      </c>
      <c r="D19" s="387">
        <f>VLOOKUP(A19,'Evento Cotiz'!$W$49:$Y$455,3,FALSE)</f>
        <v>13</v>
      </c>
      <c r="E19" s="422">
        <f>VLOOKUP(A19,'Evento Cotiz'!$A$49:$T$459,12,FALSE)</f>
        <v>80376.532800000001</v>
      </c>
      <c r="F19" s="427">
        <f>VLOOKUP(A19,'Evento Cotiz'!$A$49:$T$459,13,FALSE)</f>
        <v>22931.315200000001</v>
      </c>
      <c r="G19" s="428">
        <f>Tabla1[[#This Row],[Cantidad]]*Tabla1[[#This Row],[P Piso]]</f>
        <v>298107.09760000004</v>
      </c>
      <c r="H19" s="433">
        <f>Tabla1[[#This Row],[P Piso]]-(Tabla1[[#This Row],[P Piso]]*20%)</f>
        <v>18345.052159999999</v>
      </c>
      <c r="I19" s="434">
        <f>IF((1-(Tabla1[[#This Row],[P Piso-20%]]/Tabla1[[#This Row],[P Oferta]]))=1,0,1-(Tabla1[[#This Row],[P Piso-20%]]/Tabla1[[#This Row],[P Oferta]]))</f>
        <v>0.77176109094369894</v>
      </c>
      <c r="J19" s="439">
        <f>Tabla1[[#This Row],[P Piso]]-(Tabla1[[#This Row],[P Piso]]*25%)</f>
        <v>17198.486400000002</v>
      </c>
      <c r="K19" s="440">
        <f>IF((1-(Tabla1[[#This Row],[P Piso-25%]]/Tabla1[[#This Row],[P Oferta]]))=1,0,1-(Tabla1[[#This Row],[P Piso-25%]]/Tabla1[[#This Row],[P Oferta]]))</f>
        <v>0.78602602275971778</v>
      </c>
      <c r="L19" s="379"/>
      <c r="M19" s="469">
        <v>15</v>
      </c>
      <c r="N19" s="473">
        <f>+(Tabla1[[#This Row],[Cantidad]]*Tabla1[[#This Row],[P Piso-20%]]*$K$1)*$N$3</f>
        <v>953942.71231999993</v>
      </c>
      <c r="O19" s="473">
        <v>118889.63999999998</v>
      </c>
      <c r="P19" s="474"/>
      <c r="Q19" s="381"/>
      <c r="R19" s="380"/>
      <c r="S19" s="381"/>
      <c r="T19" s="106"/>
      <c r="U19" s="107"/>
      <c r="W19" s="377">
        <v>1</v>
      </c>
    </row>
    <row r="20" spans="1:23" ht="13.5" customHeight="1">
      <c r="A20" s="477">
        <v>197</v>
      </c>
      <c r="B20" s="478" t="s">
        <v>216</v>
      </c>
      <c r="C20" s="378" t="s">
        <v>365</v>
      </c>
      <c r="D20" s="387">
        <f>VLOOKUP(A20,'Evento Cotiz'!$W$49:$Y$455,3,FALSE)</f>
        <v>5</v>
      </c>
      <c r="E20" s="422">
        <f>VLOOKUP(A20,'Evento Cotiz'!$A$49:$T$459,12,FALSE)</f>
        <v>100574.7552</v>
      </c>
      <c r="F20" s="427">
        <f>VLOOKUP(A20,'Evento Cotiz'!$A$49:$T$459,13,FALSE)</f>
        <v>53363.609599999996</v>
      </c>
      <c r="G20" s="428">
        <f>Tabla1[[#This Row],[Cantidad]]*Tabla1[[#This Row],[P Piso]]</f>
        <v>266818.04799999995</v>
      </c>
      <c r="H20" s="433">
        <f>Tabla1[[#This Row],[P Piso]]-(Tabla1[[#This Row],[P Piso]]*20%)</f>
        <v>42690.88768</v>
      </c>
      <c r="I20" s="434">
        <f>IF((1-(Tabla1[[#This Row],[P Piso-20%]]/Tabla1[[#This Row],[P Oferta]]))=1,0,1-(Tabla1[[#This Row],[P Piso-20%]]/Tabla1[[#This Row],[P Oferta]]))</f>
        <v>0.5755307821022666</v>
      </c>
      <c r="J20" s="439">
        <f>Tabla1[[#This Row],[P Piso]]-(Tabla1[[#This Row],[P Piso]]*25%)</f>
        <v>40022.707199999997</v>
      </c>
      <c r="K20" s="440">
        <f>IF((1-(Tabla1[[#This Row],[P Piso-25%]]/Tabla1[[#This Row],[P Oferta]]))=1,0,1-(Tabla1[[#This Row],[P Piso-25%]]/Tabla1[[#This Row],[P Oferta]]))</f>
        <v>0.60206010822087497</v>
      </c>
      <c r="L20" s="379"/>
      <c r="M20" s="469">
        <v>16</v>
      </c>
      <c r="N20" s="473">
        <f>+(Tabla1[[#This Row],[Cantidad]]*Tabla1[[#This Row],[P Piso-20%]]*$K$1)*$N$3</f>
        <v>853817.75359999994</v>
      </c>
      <c r="O20" s="473">
        <v>53460</v>
      </c>
      <c r="P20" s="474"/>
      <c r="Q20" s="381"/>
      <c r="R20" s="380"/>
      <c r="S20" s="381"/>
      <c r="T20" s="106"/>
      <c r="U20" s="107"/>
      <c r="W20" s="377">
        <v>0</v>
      </c>
    </row>
    <row r="21" spans="1:23" ht="13.5" customHeight="1">
      <c r="A21" s="477">
        <v>52</v>
      </c>
      <c r="B21" s="478" t="s">
        <v>71</v>
      </c>
      <c r="C21" s="378" t="s">
        <v>365</v>
      </c>
      <c r="D21" s="387">
        <f>VLOOKUP(A21,'Evento Cotiz'!$W$49:$Y$455,3,FALSE)</f>
        <v>36</v>
      </c>
      <c r="E21" s="422">
        <f>VLOOKUP(A21,'Evento Cotiz'!$A$49:$T$459,12,FALSE)</f>
        <v>17232.3632</v>
      </c>
      <c r="F21" s="427">
        <f>VLOOKUP(A21,'Evento Cotiz'!$A$49:$T$459,13,FALSE)</f>
        <v>6960.0432000000001</v>
      </c>
      <c r="G21" s="428">
        <f>Tabla1[[#This Row],[Cantidad]]*Tabla1[[#This Row],[P Piso]]</f>
        <v>250561.5552</v>
      </c>
      <c r="H21" s="433">
        <f>Tabla1[[#This Row],[P Piso]]-(Tabla1[[#This Row],[P Piso]]*20%)</f>
        <v>5568.0345600000001</v>
      </c>
      <c r="I21" s="434">
        <f>IF((1-(Tabla1[[#This Row],[P Piso-20%]]/Tabla1[[#This Row],[P Oferta]]))=1,0,1-(Tabla1[[#This Row],[P Piso-20%]]/Tabla1[[#This Row],[P Oferta]]))</f>
        <v>0.67688502758576952</v>
      </c>
      <c r="J21" s="439">
        <f>Tabla1[[#This Row],[P Piso]]-(Tabla1[[#This Row],[P Piso]]*25%)</f>
        <v>5220.0324000000001</v>
      </c>
      <c r="K21" s="440">
        <f>IF((1-(Tabla1[[#This Row],[P Piso-25%]]/Tabla1[[#This Row],[P Oferta]]))=1,0,1-(Tabla1[[#This Row],[P Piso-25%]]/Tabla1[[#This Row],[P Oferta]]))</f>
        <v>0.69707971336165897</v>
      </c>
      <c r="L21" s="379"/>
      <c r="M21" s="469">
        <v>17</v>
      </c>
      <c r="N21" s="473">
        <f>+(Tabla1[[#This Row],[Cantidad]]*Tabla1[[#This Row],[P Piso-20%]]*$K$1)*$N$3</f>
        <v>801796.97664000001</v>
      </c>
      <c r="O21" s="473">
        <v>179550</v>
      </c>
      <c r="P21" s="474"/>
      <c r="Q21" s="381"/>
      <c r="R21" s="380"/>
      <c r="S21" s="381"/>
      <c r="T21" s="106"/>
      <c r="U21" s="107"/>
      <c r="W21" s="377">
        <v>0</v>
      </c>
    </row>
    <row r="22" spans="1:23">
      <c r="A22" s="477">
        <v>45</v>
      </c>
      <c r="B22" s="478" t="s">
        <v>64</v>
      </c>
      <c r="C22" s="378" t="s">
        <v>365</v>
      </c>
      <c r="D22" s="387">
        <f>VLOOKUP(A22,'Evento Cotiz'!$W$49:$Y$455,3,FALSE)</f>
        <v>30</v>
      </c>
      <c r="E22" s="422">
        <f>VLOOKUP(A22,'Evento Cotiz'!$A$49:$T$459,12,FALSE)</f>
        <v>16750.438399999999</v>
      </c>
      <c r="F22" s="427">
        <f>VLOOKUP(A22,'Evento Cotiz'!$A$49:$T$459,13,FALSE)</f>
        <v>8030.9871999999996</v>
      </c>
      <c r="G22" s="428">
        <f>Tabla1[[#This Row],[Cantidad]]*Tabla1[[#This Row],[P Piso]]</f>
        <v>240929.61599999998</v>
      </c>
      <c r="H22" s="433">
        <f>Tabla1[[#This Row],[P Piso]]-(Tabla1[[#This Row],[P Piso]]*20%)</f>
        <v>6424.7897599999997</v>
      </c>
      <c r="I22" s="434">
        <f>IF((1-(Tabla1[[#This Row],[P Piso-20%]]/Tabla1[[#This Row],[P Oferta]]))=1,0,1-(Tabla1[[#This Row],[P Piso-20%]]/Tabla1[[#This Row],[P Oferta]]))</f>
        <v>0.6164405010438414</v>
      </c>
      <c r="J22" s="439">
        <f>Tabla1[[#This Row],[P Piso]]-(Tabla1[[#This Row],[P Piso]]*25%)</f>
        <v>6023.2403999999997</v>
      </c>
      <c r="K22" s="440">
        <f>IF((1-(Tabla1[[#This Row],[P Piso-25%]]/Tabla1[[#This Row],[P Oferta]]))=1,0,1-(Tabla1[[#This Row],[P Piso-25%]]/Tabla1[[#This Row],[P Oferta]]))</f>
        <v>0.64041296972860118</v>
      </c>
      <c r="L22" s="379"/>
      <c r="M22" s="469">
        <v>18</v>
      </c>
      <c r="N22" s="473">
        <f>+(Tabla1[[#This Row],[Cantidad]]*Tabla1[[#This Row],[P Piso-20%]]*$K$1)*$N$3</f>
        <v>770974.77119999996</v>
      </c>
      <c r="O22" s="473">
        <v>443981.52</v>
      </c>
      <c r="P22" s="474"/>
      <c r="Q22" s="381"/>
      <c r="R22" s="380"/>
      <c r="S22" s="381"/>
      <c r="T22" s="106"/>
      <c r="U22" s="107"/>
      <c r="W22" s="377">
        <v>2</v>
      </c>
    </row>
    <row r="23" spans="1:23">
      <c r="A23" s="477">
        <v>95</v>
      </c>
      <c r="B23" s="478" t="s">
        <v>114</v>
      </c>
      <c r="C23" s="378" t="s">
        <v>365</v>
      </c>
      <c r="D23" s="387">
        <f>VLOOKUP(A23,'Evento Cotiz'!$W$49:$Y$455,3,FALSE)</f>
        <v>50</v>
      </c>
      <c r="E23" s="422">
        <f>VLOOKUP(A23,'Evento Cotiz'!$A$49:$T$459,12,FALSE)</f>
        <v>18926.2032</v>
      </c>
      <c r="F23" s="427">
        <f>VLOOKUP(A23,'Evento Cotiz'!$A$49:$T$459,13,FALSE)</f>
        <v>4573.3680000000004</v>
      </c>
      <c r="G23" s="428">
        <f>Tabla1[[#This Row],[Cantidad]]*Tabla1[[#This Row],[P Piso]]</f>
        <v>228668.40000000002</v>
      </c>
      <c r="H23" s="433">
        <f>Tabla1[[#This Row],[P Piso]]-(Tabla1[[#This Row],[P Piso]]*20%)</f>
        <v>3658.6944000000003</v>
      </c>
      <c r="I23" s="434">
        <f>IF((1-(Tabla1[[#This Row],[P Piso-20%]]/Tabla1[[#This Row],[P Oferta]]))=1,0,1-(Tabla1[[#This Row],[P Piso-20%]]/Tabla1[[#This Row],[P Oferta]]))</f>
        <v>0.8066862982851204</v>
      </c>
      <c r="J23" s="439">
        <f>Tabla1[[#This Row],[P Piso]]-(Tabla1[[#This Row],[P Piso]]*25%)</f>
        <v>3430.0260000000003</v>
      </c>
      <c r="K23" s="440">
        <f>IF((1-(Tabla1[[#This Row],[P Piso-25%]]/Tabla1[[#This Row],[P Oferta]]))=1,0,1-(Tabla1[[#This Row],[P Piso-25%]]/Tabla1[[#This Row],[P Oferta]]))</f>
        <v>0.81876840464230038</v>
      </c>
      <c r="L23" s="379"/>
      <c r="M23" s="469">
        <v>19</v>
      </c>
      <c r="N23" s="473">
        <f>+(Tabla1[[#This Row],[Cantidad]]*Tabla1[[#This Row],[P Piso-20%]]*$K$1)*$N$3</f>
        <v>731738.88000000012</v>
      </c>
      <c r="O23" s="473">
        <v>1848191.04</v>
      </c>
      <c r="P23" s="474"/>
      <c r="Q23" s="381"/>
      <c r="R23" s="380"/>
      <c r="S23" s="381"/>
      <c r="T23" s="106"/>
      <c r="U23" s="107"/>
      <c r="W23" s="377">
        <v>2</v>
      </c>
    </row>
    <row r="24" spans="1:23" ht="13.5" customHeight="1">
      <c r="A24" s="477">
        <v>130</v>
      </c>
      <c r="B24" s="478" t="s">
        <v>149</v>
      </c>
      <c r="C24" s="378" t="s">
        <v>365</v>
      </c>
      <c r="D24" s="387">
        <f>VLOOKUP(A24,'Evento Cotiz'!$W$49:$Y$455,3,FALSE)</f>
        <v>56</v>
      </c>
      <c r="E24" s="422">
        <f>VLOOKUP(A24,'Evento Cotiz'!$A$49:$T$459,12,FALSE)</f>
        <v>6922.8879999999999</v>
      </c>
      <c r="F24" s="427">
        <f>VLOOKUP(A24,'Evento Cotiz'!$A$49:$T$459,13,FALSE)</f>
        <v>3281.6783999999998</v>
      </c>
      <c r="G24" s="428">
        <f>Tabla1[[#This Row],[Cantidad]]*Tabla1[[#This Row],[P Piso]]</f>
        <v>183773.99039999998</v>
      </c>
      <c r="H24" s="433">
        <f>Tabla1[[#This Row],[P Piso]]-(Tabla1[[#This Row],[P Piso]]*20%)</f>
        <v>2625.3427199999996</v>
      </c>
      <c r="I24" s="434">
        <f>IF((1-(Tabla1[[#This Row],[P Piso-20%]]/Tabla1[[#This Row],[P Oferta]]))=1,0,1-(Tabla1[[#This Row],[P Piso-20%]]/Tabla1[[#This Row],[P Oferta]]))</f>
        <v>0.62077348066298343</v>
      </c>
      <c r="J24" s="439">
        <f>Tabla1[[#This Row],[P Piso]]-(Tabla1[[#This Row],[P Piso]]*25%)</f>
        <v>2461.2587999999996</v>
      </c>
      <c r="K24" s="440">
        <f>IF((1-(Tabla1[[#This Row],[P Piso-25%]]/Tabla1[[#This Row],[P Oferta]]))=1,0,1-(Tabla1[[#This Row],[P Piso-25%]]/Tabla1[[#This Row],[P Oferta]]))</f>
        <v>0.644475138121547</v>
      </c>
      <c r="L24" s="379"/>
      <c r="M24" s="469">
        <v>20</v>
      </c>
      <c r="N24" s="473">
        <f>+(Tabla1[[#This Row],[Cantidad]]*Tabla1[[#This Row],[P Piso-20%]]*$K$1)*$N$3</f>
        <v>588076.76927999989</v>
      </c>
      <c r="O24" s="473">
        <v>1521027.7200000002</v>
      </c>
      <c r="P24" s="474"/>
      <c r="Q24" s="381"/>
      <c r="R24" s="380"/>
      <c r="S24" s="381"/>
      <c r="T24" s="106"/>
      <c r="U24" s="107"/>
      <c r="W24" s="377">
        <v>0</v>
      </c>
    </row>
    <row r="25" spans="1:23" ht="13.5" customHeight="1">
      <c r="A25" s="477">
        <v>404</v>
      </c>
      <c r="B25" s="478" t="s">
        <v>362</v>
      </c>
      <c r="C25" s="378" t="s">
        <v>366</v>
      </c>
      <c r="D25" s="387">
        <f>VLOOKUP(A25,'Evento Cotiz'!$W$49:$Y$455,3,FALSE)</f>
        <v>3</v>
      </c>
      <c r="E25" s="422">
        <f>VLOOKUP(A25,'Evento Cotiz'!$A$49:$T$459,12,FALSE)</f>
        <v>268460.52639999997</v>
      </c>
      <c r="F25" s="427">
        <f>VLOOKUP(A25,'Evento Cotiz'!$A$49:$T$459,13,FALSE)</f>
        <v>60219.836799999997</v>
      </c>
      <c r="G25" s="428">
        <f>Tabla1[[#This Row],[Cantidad]]*Tabla1[[#This Row],[P Piso]]</f>
        <v>180659.5104</v>
      </c>
      <c r="H25" s="433">
        <f>Tabla1[[#This Row],[P Piso]]-(Tabla1[[#This Row],[P Piso]]*20%)</f>
        <v>48175.869439999995</v>
      </c>
      <c r="I25" s="434">
        <f>IF((1-(Tabla1[[#This Row],[P Piso-20%]]/Tabla1[[#This Row],[P Oferta]]))=1,0,1-(Tabla1[[#This Row],[P Piso-20%]]/Tabla1[[#This Row],[P Oferta]]))</f>
        <v>0.82054766081990371</v>
      </c>
      <c r="J25" s="439">
        <f>Tabla1[[#This Row],[P Piso]]-(Tabla1[[#This Row],[P Piso]]*25%)</f>
        <v>45164.8776</v>
      </c>
      <c r="K25" s="440">
        <f>IF((1-(Tabla1[[#This Row],[P Piso-25%]]/Tabla1[[#This Row],[P Oferta]]))=1,0,1-(Tabla1[[#This Row],[P Piso-25%]]/Tabla1[[#This Row],[P Oferta]]))</f>
        <v>0.83176343201865965</v>
      </c>
      <c r="L25" s="379"/>
      <c r="M25" s="469">
        <v>21</v>
      </c>
      <c r="N25" s="473">
        <f>+(Tabla1[[#This Row],[Cantidad]]*Tabla1[[#This Row],[P Piso-20%]]*$K$1)*$N$3</f>
        <v>578110.43328</v>
      </c>
      <c r="O25" s="473">
        <v>385470.36</v>
      </c>
      <c r="P25" s="474"/>
      <c r="Q25" s="381"/>
      <c r="R25" s="380"/>
      <c r="S25" s="381"/>
      <c r="T25" s="106"/>
      <c r="U25" s="107"/>
      <c r="W25" s="377">
        <v>0</v>
      </c>
    </row>
    <row r="26" spans="1:23">
      <c r="A26" s="477">
        <v>132</v>
      </c>
      <c r="B26" s="478" t="s">
        <v>151</v>
      </c>
      <c r="C26" s="378" t="s">
        <v>365</v>
      </c>
      <c r="D26" s="387">
        <f>VLOOKUP(A26,'Evento Cotiz'!$W$49:$Y$455,3,FALSE)</f>
        <v>42</v>
      </c>
      <c r="E26" s="422">
        <f>VLOOKUP(A26,'Evento Cotiz'!$A$49:$T$459,12,FALSE)</f>
        <v>7663.8063999999995</v>
      </c>
      <c r="F26" s="427">
        <f>VLOOKUP(A26,'Evento Cotiz'!$A$49:$T$459,13,FALSE)</f>
        <v>3810.5936000000002</v>
      </c>
      <c r="G26" s="428">
        <f>Tabla1[[#This Row],[Cantidad]]*Tabla1[[#This Row],[P Piso]]</f>
        <v>160044.93119999999</v>
      </c>
      <c r="H26" s="433">
        <f>Tabla1[[#This Row],[P Piso]]-(Tabla1[[#This Row],[P Piso]]*20%)</f>
        <v>3048.4748800000002</v>
      </c>
      <c r="I26" s="434">
        <f>IF((1-(Tabla1[[#This Row],[P Piso-20%]]/Tabla1[[#This Row],[P Oferta]]))=1,0,1-(Tabla1[[#This Row],[P Piso-20%]]/Tabla1[[#This Row],[P Oferta]]))</f>
        <v>0.60222444032511047</v>
      </c>
      <c r="J26" s="439">
        <f>Tabla1[[#This Row],[P Piso]]-(Tabla1[[#This Row],[P Piso]]*25%)</f>
        <v>2857.9452000000001</v>
      </c>
      <c r="K26" s="440">
        <f>IF((1-(Tabla1[[#This Row],[P Piso-25%]]/Tabla1[[#This Row],[P Oferta]]))=1,0,1-(Tabla1[[#This Row],[P Piso-25%]]/Tabla1[[#This Row],[P Oferta]]))</f>
        <v>0.62708541280479113</v>
      </c>
      <c r="L26" s="379"/>
      <c r="M26" s="469">
        <v>22</v>
      </c>
      <c r="N26" s="473">
        <f>+(Tabla1[[#This Row],[Cantidad]]*Tabla1[[#This Row],[P Piso-20%]]*$K$1)*$N$3</f>
        <v>512143.77984000003</v>
      </c>
      <c r="O26" s="473">
        <v>202319.63999999998</v>
      </c>
      <c r="P26" s="474"/>
      <c r="Q26" s="381"/>
      <c r="R26" s="380"/>
      <c r="S26" s="381"/>
      <c r="T26" s="106"/>
      <c r="U26" s="107"/>
      <c r="W26" s="377">
        <v>1</v>
      </c>
    </row>
    <row r="27" spans="1:23" ht="13.5" customHeight="1">
      <c r="A27" s="477">
        <v>133</v>
      </c>
      <c r="B27" s="478" t="s">
        <v>152</v>
      </c>
      <c r="C27" s="378" t="s">
        <v>365</v>
      </c>
      <c r="D27" s="387">
        <f>VLOOKUP(A27,'Evento Cotiz'!$W$49:$Y$455,3,FALSE)</f>
        <v>42</v>
      </c>
      <c r="E27" s="422">
        <f>VLOOKUP(A27,'Evento Cotiz'!$A$49:$T$459,12,FALSE)</f>
        <v>7663.8063999999995</v>
      </c>
      <c r="F27" s="427">
        <f>VLOOKUP(A27,'Evento Cotiz'!$A$49:$T$459,13,FALSE)</f>
        <v>3676.1792</v>
      </c>
      <c r="G27" s="428">
        <f>Tabla1[[#This Row],[Cantidad]]*Tabla1[[#This Row],[P Piso]]</f>
        <v>154399.5264</v>
      </c>
      <c r="H27" s="433">
        <f>Tabla1[[#This Row],[P Piso]]-(Tabla1[[#This Row],[P Piso]]*20%)</f>
        <v>2940.9433600000002</v>
      </c>
      <c r="I27" s="434">
        <f>IF((1-(Tabla1[[#This Row],[P Piso-20%]]/Tabla1[[#This Row],[P Oferta]]))=1,0,1-(Tabla1[[#This Row],[P Piso-20%]]/Tabla1[[#This Row],[P Oferta]]))</f>
        <v>0.61625552545273066</v>
      </c>
      <c r="J27" s="439">
        <f>Tabla1[[#This Row],[P Piso]]-(Tabla1[[#This Row],[P Piso]]*25%)</f>
        <v>2757.1343999999999</v>
      </c>
      <c r="K27" s="440">
        <f>IF((1-(Tabla1[[#This Row],[P Piso-25%]]/Tabla1[[#This Row],[P Oferta]]))=1,0,1-(Tabla1[[#This Row],[P Piso-25%]]/Tabla1[[#This Row],[P Oferta]]))</f>
        <v>0.64023955511193498</v>
      </c>
      <c r="L27" s="379"/>
      <c r="M27" s="469">
        <v>23</v>
      </c>
      <c r="N27" s="473">
        <f>+(Tabla1[[#This Row],[Cantidad]]*Tabla1[[#This Row],[P Piso-20%]]*$K$1)*$N$3</f>
        <v>494078.48448000004</v>
      </c>
      <c r="O27" s="473">
        <v>163410.38999999998</v>
      </c>
      <c r="P27" s="474"/>
      <c r="Q27" s="381"/>
      <c r="R27" s="380"/>
      <c r="S27" s="381"/>
      <c r="T27" s="106"/>
      <c r="U27" s="107"/>
      <c r="W27" s="377">
        <v>0</v>
      </c>
    </row>
    <row r="28" spans="1:23" ht="13.5" customHeight="1">
      <c r="A28" s="477">
        <v>143</v>
      </c>
      <c r="B28" s="478" t="s">
        <v>162</v>
      </c>
      <c r="C28" s="378" t="s">
        <v>365</v>
      </c>
      <c r="D28" s="387">
        <f>VLOOKUP(A28,'Evento Cotiz'!$W$49:$Y$455,3,FALSE)</f>
        <v>16</v>
      </c>
      <c r="E28" s="422">
        <f>VLOOKUP(A28,'Evento Cotiz'!$A$49:$T$459,12,FALSE)</f>
        <v>19580.790399999998</v>
      </c>
      <c r="F28" s="427">
        <f>VLOOKUP(A28,'Evento Cotiz'!$A$49:$T$459,13,FALSE)</f>
        <v>9303.0064000000002</v>
      </c>
      <c r="G28" s="428">
        <f>Tabla1[[#This Row],[Cantidad]]*Tabla1[[#This Row],[P Piso]]</f>
        <v>148848.1024</v>
      </c>
      <c r="H28" s="433">
        <f>Tabla1[[#This Row],[P Piso]]-(Tabla1[[#This Row],[P Piso]]*20%)</f>
        <v>7442.4051200000004</v>
      </c>
      <c r="I28" s="434">
        <f>IF((1-(Tabla1[[#This Row],[P Piso-20%]]/Tabla1[[#This Row],[P Oferta]]))=1,0,1-(Tabla1[[#This Row],[P Piso-20%]]/Tabla1[[#This Row],[P Oferta]]))</f>
        <v>0.61991293671168646</v>
      </c>
      <c r="J28" s="439">
        <f>Tabla1[[#This Row],[P Piso]]-(Tabla1[[#This Row],[P Piso]]*25%)</f>
        <v>6977.2548000000006</v>
      </c>
      <c r="K28" s="440">
        <f>IF((1-(Tabla1[[#This Row],[P Piso-25%]]/Tabla1[[#This Row],[P Oferta]]))=1,0,1-(Tabla1[[#This Row],[P Piso-25%]]/Tabla1[[#This Row],[P Oferta]]))</f>
        <v>0.64366837816720612</v>
      </c>
      <c r="L28" s="379"/>
      <c r="M28" s="469">
        <v>24</v>
      </c>
      <c r="N28" s="473">
        <f>+(Tabla1[[#This Row],[Cantidad]]*Tabla1[[#This Row],[P Piso-20%]]*$K$1)*$N$3</f>
        <v>476313.92768000002</v>
      </c>
      <c r="O28" s="473">
        <v>4019940.9000000004</v>
      </c>
      <c r="P28" s="474"/>
      <c r="Q28" s="381"/>
      <c r="R28" s="380"/>
      <c r="S28" s="381"/>
      <c r="T28" s="106"/>
      <c r="U28" s="107"/>
      <c r="W28" s="377">
        <v>0</v>
      </c>
    </row>
    <row r="29" spans="1:23" ht="24" customHeight="1">
      <c r="A29" s="477">
        <v>51</v>
      </c>
      <c r="B29" s="478" t="s">
        <v>70</v>
      </c>
      <c r="C29" s="378" t="s">
        <v>365</v>
      </c>
      <c r="D29" s="387">
        <f>VLOOKUP(A29,'Evento Cotiz'!$W$49:$Y$455,3,FALSE)</f>
        <v>24</v>
      </c>
      <c r="E29" s="422">
        <f>VLOOKUP(A29,'Evento Cotiz'!$A$49:$T$459,12,FALSE)</f>
        <v>34278.950400000002</v>
      </c>
      <c r="F29" s="427">
        <f>VLOOKUP(A29,'Evento Cotiz'!$A$49:$T$459,13,FALSE)</f>
        <v>6196.1759999999995</v>
      </c>
      <c r="G29" s="428">
        <f>Tabla1[[#This Row],[Cantidad]]*Tabla1[[#This Row],[P Piso]]</f>
        <v>148708.22399999999</v>
      </c>
      <c r="H29" s="433">
        <f>Tabla1[[#This Row],[P Piso]]-(Tabla1[[#This Row],[P Piso]]*20%)</f>
        <v>4956.9407999999994</v>
      </c>
      <c r="I29" s="434">
        <f>IF((1-(Tabla1[[#This Row],[P Piso-20%]]/Tabla1[[#This Row],[P Oferta]]))=1,0,1-(Tabla1[[#This Row],[P Piso-20%]]/Tabla1[[#This Row],[P Oferta]]))</f>
        <v>0.85539403213465959</v>
      </c>
      <c r="J29" s="439">
        <f>Tabla1[[#This Row],[P Piso]]-(Tabla1[[#This Row],[P Piso]]*25%)</f>
        <v>4647.1319999999996</v>
      </c>
      <c r="K29" s="440">
        <f>IF((1-(Tabla1[[#This Row],[P Piso-25%]]/Tabla1[[#This Row],[P Oferta]]))=1,0,1-(Tabla1[[#This Row],[P Piso-25%]]/Tabla1[[#This Row],[P Oferta]]))</f>
        <v>0.86443190512624335</v>
      </c>
      <c r="L29" s="379"/>
      <c r="M29" s="469">
        <v>25</v>
      </c>
      <c r="N29" s="473">
        <f>+(Tabla1[[#This Row],[Cantidad]]*Tabla1[[#This Row],[P Piso-20%]]*$K$1)*$N$3</f>
        <v>475866.31679999991</v>
      </c>
      <c r="O29" s="473">
        <v>329016.87</v>
      </c>
      <c r="P29" s="474"/>
      <c r="Q29" s="381"/>
      <c r="R29" s="380"/>
      <c r="S29" s="381"/>
      <c r="T29" s="106"/>
      <c r="U29" s="107"/>
      <c r="W29" s="377">
        <v>0</v>
      </c>
    </row>
    <row r="30" spans="1:23" ht="13.5" customHeight="1">
      <c r="A30" s="477">
        <v>84</v>
      </c>
      <c r="B30" s="478" t="s">
        <v>103</v>
      </c>
      <c r="C30" s="378" t="s">
        <v>365</v>
      </c>
      <c r="D30" s="387">
        <f>VLOOKUP(A30,'Evento Cotiz'!$W$49:$Y$455,3,FALSE)</f>
        <v>40</v>
      </c>
      <c r="E30" s="422">
        <f>VLOOKUP(A30,'Evento Cotiz'!$A$49:$T$459,12,FALSE)</f>
        <v>7194.9952000000003</v>
      </c>
      <c r="F30" s="427">
        <f>VLOOKUP(A30,'Evento Cotiz'!$A$49:$T$459,13,FALSE)</f>
        <v>3489.3103999999998</v>
      </c>
      <c r="G30" s="428">
        <f>Tabla1[[#This Row],[Cantidad]]*Tabla1[[#This Row],[P Piso]]</f>
        <v>139572.416</v>
      </c>
      <c r="H30" s="433">
        <f>Tabla1[[#This Row],[P Piso]]-(Tabla1[[#This Row],[P Piso]]*20%)</f>
        <v>2791.44832</v>
      </c>
      <c r="I30" s="434">
        <f>IF((1-(Tabla1[[#This Row],[P Piso-20%]]/Tabla1[[#This Row],[P Oferta]]))=1,0,1-(Tabla1[[#This Row],[P Piso-20%]]/Tabla1[[#This Row],[P Oferta]]))</f>
        <v>0.61202916160388821</v>
      </c>
      <c r="J30" s="439">
        <f>Tabla1[[#This Row],[P Piso]]-(Tabla1[[#This Row],[P Piso]]*25%)</f>
        <v>2616.9827999999998</v>
      </c>
      <c r="K30" s="440">
        <f>IF((1-(Tabla1[[#This Row],[P Piso-25%]]/Tabla1[[#This Row],[P Oferta]]))=1,0,1-(Tabla1[[#This Row],[P Piso-25%]]/Tabla1[[#This Row],[P Oferta]]))</f>
        <v>0.63627733900364525</v>
      </c>
      <c r="L30" s="379"/>
      <c r="M30" s="469">
        <v>26</v>
      </c>
      <c r="N30" s="473">
        <f>+(Tabla1[[#This Row],[Cantidad]]*Tabla1[[#This Row],[P Piso-20%]]*$K$1)*$N$3</f>
        <v>446631.73119999998</v>
      </c>
      <c r="O30" s="473">
        <v>389998.8</v>
      </c>
      <c r="P30" s="474"/>
      <c r="Q30" s="381"/>
      <c r="R30" s="380"/>
      <c r="S30" s="381"/>
      <c r="T30" s="106"/>
      <c r="U30" s="107"/>
      <c r="W30" s="377">
        <v>0</v>
      </c>
    </row>
    <row r="31" spans="1:23">
      <c r="A31" s="477">
        <v>180</v>
      </c>
      <c r="B31" s="478" t="s">
        <v>199</v>
      </c>
      <c r="C31" s="378" t="s">
        <v>365</v>
      </c>
      <c r="D31" s="387">
        <f>VLOOKUP(A31,'Evento Cotiz'!$W$49:$Y$455,3,FALSE)</f>
        <v>22</v>
      </c>
      <c r="E31" s="422">
        <f>VLOOKUP(A31,'Evento Cotiz'!$A$49:$T$459,12,FALSE)</f>
        <v>13387.8928</v>
      </c>
      <c r="F31" s="427">
        <f>VLOOKUP(A31,'Evento Cotiz'!$A$49:$T$459,13,FALSE)</f>
        <v>6230.0527999999995</v>
      </c>
      <c r="G31" s="428">
        <f>Tabla1[[#This Row],[Cantidad]]*Tabla1[[#This Row],[P Piso]]</f>
        <v>137061.16159999999</v>
      </c>
      <c r="H31" s="433">
        <f>Tabla1[[#This Row],[P Piso]]-(Tabla1[[#This Row],[P Piso]]*20%)</f>
        <v>4984.0422399999998</v>
      </c>
      <c r="I31" s="434">
        <f>IF((1-(Tabla1[[#This Row],[P Piso-20%]]/Tabla1[[#This Row],[P Oferta]]))=1,0,1-(Tabla1[[#This Row],[P Piso-20%]]/Tabla1[[#This Row],[P Oferta]]))</f>
        <v>0.62772018610725655</v>
      </c>
      <c r="J31" s="439">
        <f>Tabla1[[#This Row],[P Piso]]-(Tabla1[[#This Row],[P Piso]]*25%)</f>
        <v>4672.5396000000001</v>
      </c>
      <c r="K31" s="440">
        <f>IF((1-(Tabla1[[#This Row],[P Piso-25%]]/Tabla1[[#This Row],[P Oferta]]))=1,0,1-(Tabla1[[#This Row],[P Piso-25%]]/Tabla1[[#This Row],[P Oferta]]))</f>
        <v>0.65098767447555295</v>
      </c>
      <c r="L31" s="379"/>
      <c r="M31" s="469">
        <v>27</v>
      </c>
      <c r="N31" s="473"/>
      <c r="O31" s="473"/>
      <c r="P31" s="474"/>
      <c r="Q31" s="381"/>
      <c r="R31" s="380"/>
      <c r="S31" s="381"/>
      <c r="T31" s="106"/>
      <c r="U31" s="107"/>
      <c r="W31" s="377">
        <v>1</v>
      </c>
    </row>
    <row r="32" spans="1:23" ht="13.5" customHeight="1">
      <c r="A32" s="477">
        <v>134</v>
      </c>
      <c r="B32" s="478" t="s">
        <v>153</v>
      </c>
      <c r="C32" s="378" t="s">
        <v>365</v>
      </c>
      <c r="D32" s="387">
        <f>VLOOKUP(A32,'Evento Cotiz'!$W$49:$Y$455,3,FALSE)</f>
        <v>42</v>
      </c>
      <c r="E32" s="422">
        <f>VLOOKUP(A32,'Evento Cotiz'!$A$49:$T$459,12,FALSE)</f>
        <v>8381.7759999999998</v>
      </c>
      <c r="F32" s="427">
        <f>VLOOKUP(A32,'Evento Cotiz'!$A$49:$T$459,13,FALSE)</f>
        <v>3083.8816000000002</v>
      </c>
      <c r="G32" s="428">
        <f>Tabla1[[#This Row],[Cantidad]]*Tabla1[[#This Row],[P Piso]]</f>
        <v>129523.02720000001</v>
      </c>
      <c r="H32" s="433">
        <f>Tabla1[[#This Row],[P Piso]]-(Tabla1[[#This Row],[P Piso]]*20%)</f>
        <v>2467.1052800000002</v>
      </c>
      <c r="I32" s="434">
        <f>IF((1-(Tabla1[[#This Row],[P Piso-20%]]/Tabla1[[#This Row],[P Oferta]]))=1,0,1-(Tabla1[[#This Row],[P Piso-20%]]/Tabla1[[#This Row],[P Oferta]]))</f>
        <v>0.70565840938722291</v>
      </c>
      <c r="J32" s="439">
        <f>Tabla1[[#This Row],[P Piso]]-(Tabla1[[#This Row],[P Piso]]*25%)</f>
        <v>2312.9112</v>
      </c>
      <c r="K32" s="440">
        <f>IF((1-(Tabla1[[#This Row],[P Piso-25%]]/Tabla1[[#This Row],[P Oferta]]))=1,0,1-(Tabla1[[#This Row],[P Piso-25%]]/Tabla1[[#This Row],[P Oferta]]))</f>
        <v>0.7240547588005215</v>
      </c>
      <c r="L32" s="379"/>
      <c r="M32" s="469">
        <v>28</v>
      </c>
      <c r="N32" s="473"/>
      <c r="O32" s="473"/>
      <c r="P32" s="474"/>
      <c r="Q32" s="381"/>
      <c r="R32" s="380"/>
      <c r="S32" s="381"/>
      <c r="T32" s="106"/>
      <c r="U32" s="107"/>
      <c r="W32" s="377">
        <v>0</v>
      </c>
    </row>
    <row r="33" spans="1:23" ht="13.5" customHeight="1">
      <c r="A33" s="477">
        <v>156</v>
      </c>
      <c r="B33" s="478" t="s">
        <v>175</v>
      </c>
      <c r="C33" s="378" t="s">
        <v>365</v>
      </c>
      <c r="D33" s="387">
        <f>VLOOKUP(A33,'Evento Cotiz'!$W$49:$Y$455,3,FALSE)</f>
        <v>24</v>
      </c>
      <c r="E33" s="422">
        <f>VLOOKUP(A33,'Evento Cotiz'!$A$49:$T$459,12,FALSE)</f>
        <v>13857.7968</v>
      </c>
      <c r="F33" s="427">
        <f>VLOOKUP(A33,'Evento Cotiz'!$A$49:$T$459,13,FALSE)</f>
        <v>5341.6063999999997</v>
      </c>
      <c r="G33" s="428">
        <f>Tabla1[[#This Row],[Cantidad]]*Tabla1[[#This Row],[P Piso]]</f>
        <v>128198.55359999998</v>
      </c>
      <c r="H33" s="433">
        <f>Tabla1[[#This Row],[P Piso]]-(Tabla1[[#This Row],[P Piso]]*20%)</f>
        <v>4273.2851199999996</v>
      </c>
      <c r="I33" s="434">
        <f>IF((1-(Tabla1[[#This Row],[P Piso-20%]]/Tabla1[[#This Row],[P Oferta]]))=1,0,1-(Tabla1[[#This Row],[P Piso-20%]]/Tabla1[[#This Row],[P Oferta]]))</f>
        <v>0.6916331519596246</v>
      </c>
      <c r="J33" s="439">
        <f>Tabla1[[#This Row],[P Piso]]-(Tabla1[[#This Row],[P Piso]]*25%)</f>
        <v>4006.2047999999995</v>
      </c>
      <c r="K33" s="440">
        <f>IF((1-(Tabla1[[#This Row],[P Piso-25%]]/Tabla1[[#This Row],[P Oferta]]))=1,0,1-(Tabla1[[#This Row],[P Piso-25%]]/Tabla1[[#This Row],[P Oferta]]))</f>
        <v>0.71090607996214805</v>
      </c>
      <c r="L33" s="379"/>
      <c r="M33" s="469">
        <v>29</v>
      </c>
      <c r="N33" s="473"/>
      <c r="O33" s="473"/>
      <c r="P33" s="474"/>
      <c r="Q33" s="381"/>
      <c r="R33" s="380"/>
      <c r="S33" s="381"/>
      <c r="T33" s="106"/>
      <c r="U33" s="107"/>
      <c r="W33" s="377">
        <v>0</v>
      </c>
    </row>
    <row r="34" spans="1:23">
      <c r="A34" s="477">
        <v>176</v>
      </c>
      <c r="B34" s="478" t="s">
        <v>195</v>
      </c>
      <c r="C34" s="378" t="s">
        <v>365</v>
      </c>
      <c r="D34" s="387">
        <f>VLOOKUP(A34,'Evento Cotiz'!$W$49:$Y$455,3,FALSE)</f>
        <v>41</v>
      </c>
      <c r="E34" s="422">
        <f>VLOOKUP(A34,'Evento Cotiz'!$A$49:$T$459,12,FALSE)</f>
        <v>11607.721600000001</v>
      </c>
      <c r="F34" s="427">
        <f>VLOOKUP(A34,'Evento Cotiz'!$A$49:$T$459,13,FALSE)</f>
        <v>2987.7152000000001</v>
      </c>
      <c r="G34" s="428">
        <f>Tabla1[[#This Row],[Cantidad]]*Tabla1[[#This Row],[P Piso]]</f>
        <v>122496.3232</v>
      </c>
      <c r="H34" s="433">
        <f>Tabla1[[#This Row],[P Piso]]-(Tabla1[[#This Row],[P Piso]]*20%)</f>
        <v>2390.1721600000001</v>
      </c>
      <c r="I34" s="434">
        <f>IF((1-(Tabla1[[#This Row],[P Piso-20%]]/Tabla1[[#This Row],[P Oferta]]))=1,0,1-(Tabla1[[#This Row],[P Piso-20%]]/Tabla1[[#This Row],[P Oferta]]))</f>
        <v>0.79408774242138958</v>
      </c>
      <c r="J34" s="439">
        <f>Tabla1[[#This Row],[P Piso]]-(Tabla1[[#This Row],[P Piso]]*25%)</f>
        <v>2240.7864</v>
      </c>
      <c r="K34" s="440">
        <f>IF((1-(Tabla1[[#This Row],[P Piso-25%]]/Tabla1[[#This Row],[P Oferta]]))=1,0,1-(Tabla1[[#This Row],[P Piso-25%]]/Tabla1[[#This Row],[P Oferta]]))</f>
        <v>0.80695725852005273</v>
      </c>
      <c r="L34" s="379"/>
      <c r="M34" s="469">
        <v>30</v>
      </c>
      <c r="N34" s="473"/>
      <c r="O34" s="473"/>
      <c r="P34" s="474"/>
      <c r="Q34" s="381"/>
      <c r="R34" s="380"/>
      <c r="S34" s="381"/>
      <c r="T34" s="106"/>
      <c r="U34" s="107"/>
      <c r="W34" s="377">
        <v>2</v>
      </c>
    </row>
    <row r="35" spans="1:23" ht="13.5" customHeight="1">
      <c r="A35" s="477">
        <v>50</v>
      </c>
      <c r="B35" s="478" t="s">
        <v>69</v>
      </c>
      <c r="C35" s="378" t="s">
        <v>365</v>
      </c>
      <c r="D35" s="387">
        <f>VLOOKUP(A35,'Evento Cotiz'!$W$49:$Y$455,3,FALSE)</f>
        <v>16</v>
      </c>
      <c r="E35" s="422">
        <f>VLOOKUP(A35,'Evento Cotiz'!$A$49:$T$459,12,FALSE)</f>
        <v>15452.191999999999</v>
      </c>
      <c r="F35" s="427">
        <f>VLOOKUP(A35,'Evento Cotiz'!$A$49:$T$459,13,FALSE)</f>
        <v>7566.5472</v>
      </c>
      <c r="G35" s="428">
        <f>Tabla1[[#This Row],[Cantidad]]*Tabla1[[#This Row],[P Piso]]</f>
        <v>121064.7552</v>
      </c>
      <c r="H35" s="433">
        <f>Tabla1[[#This Row],[P Piso]]-(Tabla1[[#This Row],[P Piso]]*20%)</f>
        <v>6053.23776</v>
      </c>
      <c r="I35" s="434">
        <f>IF((1-(Tabla1[[#This Row],[P Piso-20%]]/Tabla1[[#This Row],[P Oferta]]))=1,0,1-(Tabla1[[#This Row],[P Piso-20%]]/Tabla1[[#This Row],[P Oferta]]))</f>
        <v>0.60826025459688826</v>
      </c>
      <c r="J35" s="439">
        <f>Tabla1[[#This Row],[P Piso]]-(Tabla1[[#This Row],[P Piso]]*25%)</f>
        <v>5674.9103999999998</v>
      </c>
      <c r="K35" s="440">
        <f>IF((1-(Tabla1[[#This Row],[P Piso-25%]]/Tabla1[[#This Row],[P Oferta]]))=1,0,1-(Tabla1[[#This Row],[P Piso-25%]]/Tabla1[[#This Row],[P Oferta]]))</f>
        <v>0.6327439886845827</v>
      </c>
      <c r="L35" s="379"/>
      <c r="M35" s="469">
        <v>31</v>
      </c>
      <c r="N35" s="473"/>
      <c r="O35" s="473"/>
      <c r="P35" s="474"/>
      <c r="Q35" s="381"/>
      <c r="R35" s="380"/>
      <c r="S35" s="381"/>
      <c r="T35" s="106"/>
      <c r="U35" s="107"/>
      <c r="W35" s="377">
        <v>0</v>
      </c>
    </row>
    <row r="36" spans="1:23" ht="13.5" customHeight="1">
      <c r="A36" s="477">
        <v>56</v>
      </c>
      <c r="B36" s="478" t="s">
        <v>75</v>
      </c>
      <c r="C36" s="378" t="s">
        <v>365</v>
      </c>
      <c r="D36" s="387">
        <f>VLOOKUP(A36,'Evento Cotiz'!$W$49:$Y$455,3,FALSE)</f>
        <v>16</v>
      </c>
      <c r="E36" s="422">
        <f>VLOOKUP(A36,'Evento Cotiz'!$A$49:$T$459,12,FALSE)</f>
        <v>11954.1392</v>
      </c>
      <c r="F36" s="427">
        <f>VLOOKUP(A36,'Evento Cotiz'!$A$49:$T$459,13,FALSE)</f>
        <v>7509.7215999999999</v>
      </c>
      <c r="G36" s="428">
        <f>Tabla1[[#This Row],[Cantidad]]*Tabla1[[#This Row],[P Piso]]</f>
        <v>120155.5456</v>
      </c>
      <c r="H36" s="433">
        <f>Tabla1[[#This Row],[P Piso]]-(Tabla1[[#This Row],[P Piso]]*20%)</f>
        <v>6007.7772800000002</v>
      </c>
      <c r="I36" s="434">
        <f>IF((1-(Tabla1[[#This Row],[P Piso-20%]]/Tabla1[[#This Row],[P Oferta]]))=1,0,1-(Tabla1[[#This Row],[P Piso-20%]]/Tabla1[[#This Row],[P Oferta]]))</f>
        <v>0.49743120943413466</v>
      </c>
      <c r="J36" s="439">
        <f>Tabla1[[#This Row],[P Piso]]-(Tabla1[[#This Row],[P Piso]]*25%)</f>
        <v>5632.2911999999997</v>
      </c>
      <c r="K36" s="440">
        <f>IF((1-(Tabla1[[#This Row],[P Piso-25%]]/Tabla1[[#This Row],[P Oferta]]))=1,0,1-(Tabla1[[#This Row],[P Piso-25%]]/Tabla1[[#This Row],[P Oferta]]))</f>
        <v>0.52884175884450135</v>
      </c>
      <c r="L36" s="379"/>
      <c r="M36" s="469">
        <v>32</v>
      </c>
      <c r="N36" s="473"/>
      <c r="O36" s="473"/>
      <c r="P36" s="474"/>
      <c r="Q36" s="381"/>
      <c r="R36" s="380"/>
      <c r="S36" s="381"/>
      <c r="T36" s="106"/>
      <c r="U36" s="107"/>
      <c r="W36" s="377">
        <v>0</v>
      </c>
    </row>
    <row r="37" spans="1:23">
      <c r="A37" s="477">
        <v>94</v>
      </c>
      <c r="B37" s="478" t="s">
        <v>113</v>
      </c>
      <c r="C37" s="378" t="s">
        <v>365</v>
      </c>
      <c r="D37" s="387">
        <f>VLOOKUP(A37,'Evento Cotiz'!$W$49:$Y$455,3,FALSE)</f>
        <v>20</v>
      </c>
      <c r="E37" s="422">
        <f>VLOOKUP(A37,'Evento Cotiz'!$A$49:$T$459,12,FALSE)</f>
        <v>13017.4336</v>
      </c>
      <c r="F37" s="427">
        <f>VLOOKUP(A37,'Evento Cotiz'!$A$49:$T$459,13,FALSE)</f>
        <v>5932.8112000000001</v>
      </c>
      <c r="G37" s="428">
        <f>Tabla1[[#This Row],[Cantidad]]*Tabla1[[#This Row],[P Piso]]</f>
        <v>118656.224</v>
      </c>
      <c r="H37" s="433">
        <f>Tabla1[[#This Row],[P Piso]]-(Tabla1[[#This Row],[P Piso]]*20%)</f>
        <v>4746.2489599999999</v>
      </c>
      <c r="I37" s="434">
        <f>IF((1-(Tabla1[[#This Row],[P Piso-20%]]/Tabla1[[#This Row],[P Oferta]]))=1,0,1-(Tabla1[[#This Row],[P Piso-20%]]/Tabla1[[#This Row],[P Oferta]]))</f>
        <v>0.63539288112827408</v>
      </c>
      <c r="J37" s="439">
        <f>Tabla1[[#This Row],[P Piso]]-(Tabla1[[#This Row],[P Piso]]*25%)</f>
        <v>4449.6084000000001</v>
      </c>
      <c r="K37" s="440">
        <f>IF((1-(Tabla1[[#This Row],[P Piso-25%]]/Tabla1[[#This Row],[P Oferta]]))=1,0,1-(Tabla1[[#This Row],[P Piso-25%]]/Tabla1[[#This Row],[P Oferta]]))</f>
        <v>0.65818082605775685</v>
      </c>
      <c r="L37" s="379"/>
      <c r="M37" s="469">
        <v>33</v>
      </c>
      <c r="N37" s="473"/>
      <c r="O37" s="473"/>
      <c r="P37" s="474"/>
      <c r="Q37" s="381"/>
      <c r="R37" s="380"/>
      <c r="S37" s="381"/>
      <c r="T37" s="106"/>
      <c r="U37" s="107"/>
      <c r="W37" s="377">
        <v>2</v>
      </c>
    </row>
    <row r="38" spans="1:23" ht="13.5" customHeight="1">
      <c r="A38" s="477">
        <v>82</v>
      </c>
      <c r="B38" s="478" t="s">
        <v>101</v>
      </c>
      <c r="C38" s="378" t="s">
        <v>365</v>
      </c>
      <c r="D38" s="387">
        <f>VLOOKUP(A38,'Evento Cotiz'!$W$49:$Y$455,3,FALSE)</f>
        <v>40</v>
      </c>
      <c r="E38" s="422">
        <f>VLOOKUP(A38,'Evento Cotiz'!$A$49:$T$459,12,FALSE)</f>
        <v>5129.6031999999996</v>
      </c>
      <c r="F38" s="427">
        <f>VLOOKUP(A38,'Evento Cotiz'!$A$49:$T$459,13,FALSE)</f>
        <v>2855.4863999999998</v>
      </c>
      <c r="G38" s="428">
        <f>Tabla1[[#This Row],[Cantidad]]*Tabla1[[#This Row],[P Piso]]</f>
        <v>114219.45599999999</v>
      </c>
      <c r="H38" s="433">
        <f>Tabla1[[#This Row],[P Piso]]-(Tabla1[[#This Row],[P Piso]]*20%)</f>
        <v>2284.3891199999998</v>
      </c>
      <c r="I38" s="434">
        <f>IF((1-(Tabla1[[#This Row],[P Piso-20%]]/Tabla1[[#This Row],[P Oferta]]))=1,0,1-(Tabla1[[#This Row],[P Piso-20%]]/Tabla1[[#This Row],[P Oferta]]))</f>
        <v>0.55466553046442268</v>
      </c>
      <c r="J38" s="439">
        <f>Tabla1[[#This Row],[P Piso]]-(Tabla1[[#This Row],[P Piso]]*25%)</f>
        <v>2141.6147999999998</v>
      </c>
      <c r="K38" s="440">
        <f>IF((1-(Tabla1[[#This Row],[P Piso-25%]]/Tabla1[[#This Row],[P Oferta]]))=1,0,1-(Tabla1[[#This Row],[P Piso-25%]]/Tabla1[[#This Row],[P Oferta]]))</f>
        <v>0.58249893481039627</v>
      </c>
      <c r="L38" s="379"/>
      <c r="M38" s="469">
        <v>34</v>
      </c>
      <c r="N38" s="473"/>
      <c r="O38" s="473"/>
      <c r="P38" s="474"/>
      <c r="Q38" s="381"/>
      <c r="R38" s="380"/>
      <c r="S38" s="381"/>
      <c r="T38" s="106"/>
      <c r="U38" s="107"/>
      <c r="W38" s="377">
        <v>0</v>
      </c>
    </row>
    <row r="39" spans="1:23" ht="13.5" customHeight="1">
      <c r="A39" s="477">
        <v>126</v>
      </c>
      <c r="B39" s="478" t="s">
        <v>145</v>
      </c>
      <c r="C39" s="378" t="s">
        <v>365</v>
      </c>
      <c r="D39" s="387">
        <f>VLOOKUP(A39,'Evento Cotiz'!$W$49:$Y$455,3,FALSE)</f>
        <v>32</v>
      </c>
      <c r="E39" s="422">
        <f>VLOOKUP(A39,'Evento Cotiz'!$A$49:$T$459,12,FALSE)</f>
        <v>8245.1759999999995</v>
      </c>
      <c r="F39" s="427">
        <f>VLOOKUP(A39,'Evento Cotiz'!$A$49:$T$459,13,FALSE)</f>
        <v>3522.0944</v>
      </c>
      <c r="G39" s="428">
        <f>Tabla1[[#This Row],[Cantidad]]*Tabla1[[#This Row],[P Piso]]</f>
        <v>112707.0208</v>
      </c>
      <c r="H39" s="433">
        <f>Tabla1[[#This Row],[P Piso]]-(Tabla1[[#This Row],[P Piso]]*20%)</f>
        <v>2817.6755199999998</v>
      </c>
      <c r="I39" s="434">
        <f>IF((1-(Tabla1[[#This Row],[P Piso-20%]]/Tabla1[[#This Row],[P Oferta]]))=1,0,1-(Tabla1[[#This Row],[P Piso-20%]]/Tabla1[[#This Row],[P Oferta]]))</f>
        <v>0.65826375082836308</v>
      </c>
      <c r="J39" s="439">
        <f>Tabla1[[#This Row],[P Piso]]-(Tabla1[[#This Row],[P Piso]]*25%)</f>
        <v>2641.5708</v>
      </c>
      <c r="K39" s="440">
        <f>IF((1-(Tabla1[[#This Row],[P Piso-25%]]/Tabla1[[#This Row],[P Oferta]]))=1,0,1-(Tabla1[[#This Row],[P Piso-25%]]/Tabla1[[#This Row],[P Oferta]]))</f>
        <v>0.67962226640159051</v>
      </c>
      <c r="L39" s="379"/>
      <c r="M39" s="469">
        <v>35</v>
      </c>
      <c r="N39" s="473"/>
      <c r="O39" s="473"/>
      <c r="P39" s="474"/>
      <c r="Q39" s="381"/>
      <c r="R39" s="380"/>
      <c r="S39" s="381"/>
      <c r="T39" s="106"/>
      <c r="U39" s="107"/>
      <c r="W39" s="377">
        <v>0</v>
      </c>
    </row>
    <row r="40" spans="1:23" ht="13.5" customHeight="1">
      <c r="A40" s="477">
        <v>141</v>
      </c>
      <c r="B40" s="478" t="s">
        <v>160</v>
      </c>
      <c r="C40" s="378" t="s">
        <v>365</v>
      </c>
      <c r="D40" s="387">
        <f>VLOOKUP(A40,'Evento Cotiz'!$W$49:$Y$455,3,FALSE)</f>
        <v>65</v>
      </c>
      <c r="E40" s="422">
        <f>VLOOKUP(A40,'Evento Cotiz'!$A$49:$T$459,12,FALSE)</f>
        <v>3090.4384</v>
      </c>
      <c r="F40" s="427">
        <f>VLOOKUP(A40,'Evento Cotiz'!$A$49:$T$459,13,FALSE)</f>
        <v>1711.3247999999999</v>
      </c>
      <c r="G40" s="428">
        <f>Tabla1[[#This Row],[Cantidad]]*Tabla1[[#This Row],[P Piso]]</f>
        <v>111236.11199999999</v>
      </c>
      <c r="H40" s="433">
        <f>Tabla1[[#This Row],[P Piso]]-(Tabla1[[#This Row],[P Piso]]*20%)</f>
        <v>1369.0598399999999</v>
      </c>
      <c r="I40" s="434">
        <f>IF((1-(Tabla1[[#This Row],[P Piso-20%]]/Tabla1[[#This Row],[P Oferta]]))=1,0,1-(Tabla1[[#This Row],[P Piso-20%]]/Tabla1[[#This Row],[P Oferta]]))</f>
        <v>0.55700141442715712</v>
      </c>
      <c r="J40" s="439">
        <f>Tabla1[[#This Row],[P Piso]]-(Tabla1[[#This Row],[P Piso]]*25%)</f>
        <v>1283.4935999999998</v>
      </c>
      <c r="K40" s="440">
        <f>IF((1-(Tabla1[[#This Row],[P Piso-25%]]/Tabla1[[#This Row],[P Oferta]]))=1,0,1-(Tabla1[[#This Row],[P Piso-25%]]/Tabla1[[#This Row],[P Oferta]]))</f>
        <v>0.58468882602545968</v>
      </c>
      <c r="L40" s="379"/>
      <c r="M40" s="469">
        <v>36</v>
      </c>
      <c r="N40" s="473"/>
      <c r="O40" s="473"/>
      <c r="P40" s="474"/>
      <c r="Q40" s="381"/>
      <c r="R40" s="380"/>
      <c r="S40" s="381"/>
      <c r="T40" s="106"/>
      <c r="U40" s="107"/>
      <c r="W40" s="377">
        <v>0</v>
      </c>
    </row>
    <row r="41" spans="1:23">
      <c r="A41" s="477">
        <v>97</v>
      </c>
      <c r="B41" s="478" t="s">
        <v>116</v>
      </c>
      <c r="C41" s="378" t="s">
        <v>365</v>
      </c>
      <c r="D41" s="387">
        <f>VLOOKUP(A41,'Evento Cotiz'!$W$49:$Y$455,3,FALSE)</f>
        <v>60</v>
      </c>
      <c r="E41" s="422">
        <f>VLOOKUP(A41,'Evento Cotiz'!$A$49:$T$459,12,FALSE)</f>
        <v>5217.0272000000004</v>
      </c>
      <c r="F41" s="427">
        <f>VLOOKUP(A41,'Evento Cotiz'!$A$49:$T$459,13,FALSE)</f>
        <v>1802.0272</v>
      </c>
      <c r="G41" s="428">
        <f>Tabla1[[#This Row],[Cantidad]]*Tabla1[[#This Row],[P Piso]]</f>
        <v>108121.632</v>
      </c>
      <c r="H41" s="433">
        <f>Tabla1[[#This Row],[P Piso]]-(Tabla1[[#This Row],[P Piso]]*20%)</f>
        <v>1441.62176</v>
      </c>
      <c r="I41" s="434">
        <f>IF((1-(Tabla1[[#This Row],[P Piso-20%]]/Tabla1[[#This Row],[P Oferta]]))=1,0,1-(Tabla1[[#This Row],[P Piso-20%]]/Tabla1[[#This Row],[P Oferta]]))</f>
        <v>0.72366987850858822</v>
      </c>
      <c r="J41" s="439">
        <f>Tabla1[[#This Row],[P Piso]]-(Tabla1[[#This Row],[P Piso]]*25%)</f>
        <v>1351.5203999999999</v>
      </c>
      <c r="K41" s="440">
        <f>IF((1-(Tabla1[[#This Row],[P Piso-25%]]/Tabla1[[#This Row],[P Oferta]]))=1,0,1-(Tabla1[[#This Row],[P Piso-25%]]/Tabla1[[#This Row],[P Oferta]]))</f>
        <v>0.74094051110180148</v>
      </c>
      <c r="L41" s="379"/>
      <c r="M41" s="469">
        <v>37</v>
      </c>
      <c r="N41" s="473"/>
      <c r="O41" s="473"/>
      <c r="P41" s="474"/>
      <c r="Q41" s="381"/>
      <c r="R41" s="380"/>
      <c r="S41" s="381"/>
      <c r="T41" s="106"/>
      <c r="U41" s="107"/>
      <c r="W41" s="377">
        <v>1</v>
      </c>
    </row>
    <row r="42" spans="1:23" ht="13.5" customHeight="1">
      <c r="A42" s="477">
        <v>198</v>
      </c>
      <c r="B42" s="478" t="s">
        <v>217</v>
      </c>
      <c r="C42" s="378" t="s">
        <v>365</v>
      </c>
      <c r="D42" s="387">
        <f>VLOOKUP(A42,'Evento Cotiz'!$W$49:$Y$455,3,FALSE)</f>
        <v>3</v>
      </c>
      <c r="E42" s="422">
        <f>VLOOKUP(A42,'Evento Cotiz'!$A$49:$T$459,12,FALSE)</f>
        <v>84542.286399999997</v>
      </c>
      <c r="F42" s="427">
        <f>VLOOKUP(A42,'Evento Cotiz'!$A$49:$T$459,13,FALSE)</f>
        <v>35711.611199999999</v>
      </c>
      <c r="G42" s="428">
        <f>Tabla1[[#This Row],[Cantidad]]*Tabla1[[#This Row],[P Piso]]</f>
        <v>107134.8336</v>
      </c>
      <c r="H42" s="433">
        <f>Tabla1[[#This Row],[P Piso]]-(Tabla1[[#This Row],[P Piso]]*20%)</f>
        <v>28569.288959999998</v>
      </c>
      <c r="I42" s="434">
        <f>IF((1-(Tabla1[[#This Row],[P Piso-20%]]/Tabla1[[#This Row],[P Oferta]]))=1,0,1-(Tabla1[[#This Row],[P Piso-20%]]/Tabla1[[#This Row],[P Oferta]]))</f>
        <v>0.66207101586029493</v>
      </c>
      <c r="J42" s="439">
        <f>Tabla1[[#This Row],[P Piso]]-(Tabla1[[#This Row],[P Piso]]*25%)</f>
        <v>26783.7084</v>
      </c>
      <c r="K42" s="440">
        <f>IF((1-(Tabla1[[#This Row],[P Piso-25%]]/Tabla1[[#This Row],[P Oferta]]))=1,0,1-(Tabla1[[#This Row],[P Piso-25%]]/Tabla1[[#This Row],[P Oferta]]))</f>
        <v>0.68319157736902647</v>
      </c>
      <c r="L42" s="379"/>
      <c r="M42" s="469">
        <v>38</v>
      </c>
      <c r="N42" s="473"/>
      <c r="O42" s="473"/>
      <c r="P42" s="474"/>
      <c r="Q42" s="381"/>
      <c r="R42" s="380"/>
      <c r="S42" s="381"/>
      <c r="T42" s="106"/>
      <c r="U42" s="107"/>
      <c r="W42" s="377">
        <v>0</v>
      </c>
    </row>
    <row r="43" spans="1:23" ht="13.5" customHeight="1">
      <c r="A43" s="477">
        <v>168</v>
      </c>
      <c r="B43" s="478" t="s">
        <v>187</v>
      </c>
      <c r="C43" s="378" t="s">
        <v>365</v>
      </c>
      <c r="D43" s="387">
        <f>VLOOKUP(A43,'Evento Cotiz'!$W$49:$Y$455,3,FALSE)</f>
        <v>3.5</v>
      </c>
      <c r="E43" s="422">
        <f>VLOOKUP(A43,'Evento Cotiz'!$A$49:$T$459,12,FALSE)</f>
        <v>54676.062400000003</v>
      </c>
      <c r="F43" s="427">
        <f>VLOOKUP(A43,'Evento Cotiz'!$A$49:$T$459,13,FALSE)</f>
        <v>29884.801599999999</v>
      </c>
      <c r="G43" s="428">
        <f>Tabla1[[#This Row],[Cantidad]]*Tabla1[[#This Row],[P Piso]]</f>
        <v>104596.80559999999</v>
      </c>
      <c r="H43" s="433">
        <f>Tabla1[[#This Row],[P Piso]]-(Tabla1[[#This Row],[P Piso]]*20%)</f>
        <v>23907.841280000001</v>
      </c>
      <c r="I43" s="434">
        <f>IF((1-(Tabla1[[#This Row],[P Piso-20%]]/Tabla1[[#This Row],[P Oferta]]))=1,0,1-(Tabla1[[#This Row],[P Piso-20%]]/Tabla1[[#This Row],[P Oferta]]))</f>
        <v>0.5627365938480603</v>
      </c>
      <c r="J43" s="439">
        <f>Tabla1[[#This Row],[P Piso]]-(Tabla1[[#This Row],[P Piso]]*25%)</f>
        <v>22413.601199999997</v>
      </c>
      <c r="K43" s="440">
        <f>IF((1-(Tabla1[[#This Row],[P Piso-25%]]/Tabla1[[#This Row],[P Oferta]]))=1,0,1-(Tabla1[[#This Row],[P Piso-25%]]/Tabla1[[#This Row],[P Oferta]]))</f>
        <v>0.59006555673255656</v>
      </c>
      <c r="L43" s="379"/>
      <c r="M43" s="469">
        <v>39</v>
      </c>
      <c r="N43" s="473"/>
      <c r="O43" s="473"/>
      <c r="P43" s="474"/>
      <c r="Q43" s="381"/>
      <c r="R43" s="380"/>
      <c r="S43" s="381"/>
      <c r="T43" s="106"/>
      <c r="U43" s="107"/>
      <c r="W43" s="377">
        <v>0</v>
      </c>
    </row>
    <row r="44" spans="1:23" ht="13.5" customHeight="1">
      <c r="A44" s="477">
        <v>92</v>
      </c>
      <c r="B44" s="478" t="s">
        <v>111</v>
      </c>
      <c r="C44" s="378" t="s">
        <v>365</v>
      </c>
      <c r="D44" s="387">
        <f>VLOOKUP(A44,'Evento Cotiz'!$W$49:$Y$455,3,FALSE)</f>
        <v>21</v>
      </c>
      <c r="E44" s="422">
        <f>VLOOKUP(A44,'Evento Cotiz'!$A$49:$T$459,12,FALSE)</f>
        <v>9209.0256000000008</v>
      </c>
      <c r="F44" s="427">
        <f>VLOOKUP(A44,'Evento Cotiz'!$A$49:$T$459,13,FALSE)</f>
        <v>4822.5263999999997</v>
      </c>
      <c r="G44" s="428">
        <f>Tabla1[[#This Row],[Cantidad]]*Tabla1[[#This Row],[P Piso]]</f>
        <v>101273.05439999999</v>
      </c>
      <c r="H44" s="433">
        <f>Tabla1[[#This Row],[P Piso]]-(Tabla1[[#This Row],[P Piso]]*20%)</f>
        <v>3858.0211199999999</v>
      </c>
      <c r="I44" s="434">
        <f>IF((1-(Tabla1[[#This Row],[P Piso-20%]]/Tabla1[[#This Row],[P Oferta]]))=1,0,1-(Tabla1[[#This Row],[P Piso-20%]]/Tabla1[[#This Row],[P Oferta]]))</f>
        <v>0.58106087575649701</v>
      </c>
      <c r="J44" s="439">
        <f>Tabla1[[#This Row],[P Piso]]-(Tabla1[[#This Row],[P Piso]]*25%)</f>
        <v>3616.8948</v>
      </c>
      <c r="K44" s="440">
        <f>IF((1-(Tabla1[[#This Row],[P Piso-25%]]/Tabla1[[#This Row],[P Oferta]]))=1,0,1-(Tabla1[[#This Row],[P Piso-25%]]/Tabla1[[#This Row],[P Oferta]]))</f>
        <v>0.60724457102171603</v>
      </c>
      <c r="L44" s="379"/>
      <c r="M44" s="469">
        <v>40</v>
      </c>
      <c r="N44" s="473"/>
      <c r="O44" s="473"/>
      <c r="P44" s="474"/>
      <c r="Q44" s="381"/>
      <c r="R44" s="380"/>
      <c r="S44" s="381"/>
      <c r="T44" s="106"/>
      <c r="U44" s="107"/>
      <c r="W44" s="377">
        <v>0</v>
      </c>
    </row>
    <row r="45" spans="1:23" ht="13.5" customHeight="1">
      <c r="A45" s="477">
        <v>54</v>
      </c>
      <c r="B45" s="478" t="s">
        <v>73</v>
      </c>
      <c r="C45" s="378" t="s">
        <v>365</v>
      </c>
      <c r="D45" s="387">
        <f>VLOOKUP(A45,'Evento Cotiz'!$W$49:$Y$455,3,FALSE)</f>
        <v>18</v>
      </c>
      <c r="E45" s="422">
        <f>VLOOKUP(A45,'Evento Cotiz'!$A$49:$T$459,12,FALSE)</f>
        <v>14153.945599999999</v>
      </c>
      <c r="F45" s="427">
        <f>VLOOKUP(A45,'Evento Cotiz'!$A$49:$T$459,13,FALSE)</f>
        <v>5502.2479999999996</v>
      </c>
      <c r="G45" s="428">
        <f>Tabla1[[#This Row],[Cantidad]]*Tabla1[[#This Row],[P Piso]]</f>
        <v>99040.463999999993</v>
      </c>
      <c r="H45" s="433">
        <f>Tabla1[[#This Row],[P Piso]]-(Tabla1[[#This Row],[P Piso]]*20%)</f>
        <v>4401.7983999999997</v>
      </c>
      <c r="I45" s="434">
        <f>IF((1-(Tabla1[[#This Row],[P Piso-20%]]/Tabla1[[#This Row],[P Oferta]]))=1,0,1-(Tabla1[[#This Row],[P Piso-20%]]/Tabla1[[#This Row],[P Oferta]]))</f>
        <v>0.68900555898702898</v>
      </c>
      <c r="J45" s="439">
        <f>Tabla1[[#This Row],[P Piso]]-(Tabla1[[#This Row],[P Piso]]*25%)</f>
        <v>4126.6859999999997</v>
      </c>
      <c r="K45" s="440">
        <f>IF((1-(Tabla1[[#This Row],[P Piso-25%]]/Tabla1[[#This Row],[P Oferta]]))=1,0,1-(Tabla1[[#This Row],[P Piso-25%]]/Tabla1[[#This Row],[P Oferta]]))</f>
        <v>0.70844271155033978</v>
      </c>
      <c r="L45" s="379"/>
      <c r="M45" s="469">
        <v>41</v>
      </c>
      <c r="N45" s="473"/>
      <c r="O45" s="473"/>
      <c r="P45" s="474"/>
      <c r="Q45" s="381"/>
      <c r="R45" s="380"/>
      <c r="S45" s="381"/>
      <c r="T45" s="106"/>
      <c r="U45" s="107"/>
      <c r="W45" s="377">
        <v>0</v>
      </c>
    </row>
    <row r="46" spans="1:23" ht="13.5" customHeight="1">
      <c r="A46" s="477">
        <v>125</v>
      </c>
      <c r="B46" s="478" t="s">
        <v>144</v>
      </c>
      <c r="C46" s="378" t="s">
        <v>365</v>
      </c>
      <c r="D46" s="387">
        <f>VLOOKUP(A46,'Evento Cotiz'!$W$49:$Y$455,3,FALSE)</f>
        <v>32</v>
      </c>
      <c r="E46" s="422">
        <f>VLOOKUP(A46,'Evento Cotiz'!$A$49:$T$459,12,FALSE)</f>
        <v>7244.1711999999998</v>
      </c>
      <c r="F46" s="427">
        <f>VLOOKUP(A46,'Evento Cotiz'!$A$49:$T$459,13,FALSE)</f>
        <v>3055.4688000000001</v>
      </c>
      <c r="G46" s="428">
        <f>Tabla1[[#This Row],[Cantidad]]*Tabla1[[#This Row],[P Piso]]</f>
        <v>97775.001600000003</v>
      </c>
      <c r="H46" s="433">
        <f>Tabla1[[#This Row],[P Piso]]-(Tabla1[[#This Row],[P Piso]]*20%)</f>
        <v>2444.3750399999999</v>
      </c>
      <c r="I46" s="434">
        <f>IF((1-(Tabla1[[#This Row],[P Piso-20%]]/Tabla1[[#This Row],[P Oferta]]))=1,0,1-(Tabla1[[#This Row],[P Piso-20%]]/Tabla1[[#This Row],[P Oferta]]))</f>
        <v>0.66257354050384676</v>
      </c>
      <c r="J46" s="439">
        <f>Tabla1[[#This Row],[P Piso]]-(Tabla1[[#This Row],[P Piso]]*25%)</f>
        <v>2291.6016</v>
      </c>
      <c r="K46" s="440">
        <f>IF((1-(Tabla1[[#This Row],[P Piso-25%]]/Tabla1[[#This Row],[P Oferta]]))=1,0,1-(Tabla1[[#This Row],[P Piso-25%]]/Tabla1[[#This Row],[P Oferta]]))</f>
        <v>0.68366269422235626</v>
      </c>
      <c r="L46" s="379"/>
      <c r="M46" s="469">
        <v>42</v>
      </c>
      <c r="N46" s="473"/>
      <c r="O46" s="473"/>
      <c r="P46" s="474"/>
      <c r="Q46" s="381"/>
      <c r="R46" s="380"/>
      <c r="S46" s="381"/>
      <c r="T46" s="106"/>
      <c r="U46" s="107"/>
      <c r="W46" s="377">
        <v>0</v>
      </c>
    </row>
    <row r="47" spans="1:23" ht="13.5" customHeight="1">
      <c r="A47" s="477">
        <v>119</v>
      </c>
      <c r="B47" s="478" t="s">
        <v>138</v>
      </c>
      <c r="C47" s="378" t="s">
        <v>365</v>
      </c>
      <c r="D47" s="387">
        <f>VLOOKUP(A47,'Evento Cotiz'!$W$49:$Y$455,3,FALSE)</f>
        <v>50</v>
      </c>
      <c r="E47" s="422">
        <f>VLOOKUP(A47,'Evento Cotiz'!$A$49:$T$459,12,FALSE)</f>
        <v>4919.7856000000002</v>
      </c>
      <c r="F47" s="427">
        <f>VLOOKUP(A47,'Evento Cotiz'!$A$49:$T$459,13,FALSE)</f>
        <v>1928.7919999999999</v>
      </c>
      <c r="G47" s="428">
        <f>Tabla1[[#This Row],[Cantidad]]*Tabla1[[#This Row],[P Piso]]</f>
        <v>96439.599999999991</v>
      </c>
      <c r="H47" s="433">
        <f>Tabla1[[#This Row],[P Piso]]-(Tabla1[[#This Row],[P Piso]]*20%)</f>
        <v>1543.0336</v>
      </c>
      <c r="I47" s="434">
        <f>IF((1-(Tabla1[[#This Row],[P Piso-20%]]/Tabla1[[#This Row],[P Oferta]]))=1,0,1-(Tabla1[[#This Row],[P Piso-20%]]/Tabla1[[#This Row],[P Oferta]]))</f>
        <v>0.68636161705908494</v>
      </c>
      <c r="J47" s="439">
        <f>Tabla1[[#This Row],[P Piso]]-(Tabla1[[#This Row],[P Piso]]*25%)</f>
        <v>1446.5940000000001</v>
      </c>
      <c r="K47" s="440">
        <f>IF((1-(Tabla1[[#This Row],[P Piso-25%]]/Tabla1[[#This Row],[P Oferta]]))=1,0,1-(Tabla1[[#This Row],[P Piso-25%]]/Tabla1[[#This Row],[P Oferta]]))</f>
        <v>0.70596401599289205</v>
      </c>
      <c r="L47" s="379"/>
      <c r="M47" s="469">
        <v>43</v>
      </c>
      <c r="N47" s="473"/>
      <c r="O47" s="473"/>
      <c r="P47" s="474"/>
      <c r="Q47" s="381"/>
      <c r="R47" s="380"/>
      <c r="S47" s="381"/>
      <c r="T47" s="106"/>
      <c r="U47" s="107"/>
      <c r="W47" s="377">
        <v>0</v>
      </c>
    </row>
    <row r="48" spans="1:23" ht="13.5" customHeight="1">
      <c r="A48" s="477">
        <v>120</v>
      </c>
      <c r="B48" s="478" t="s">
        <v>139</v>
      </c>
      <c r="C48" s="378" t="s">
        <v>365</v>
      </c>
      <c r="D48" s="387">
        <f>VLOOKUP(A48,'Evento Cotiz'!$W$49:$Y$455,3,FALSE)</f>
        <v>50</v>
      </c>
      <c r="E48" s="422">
        <f>VLOOKUP(A48,'Evento Cotiz'!$A$49:$T$459,12,FALSE)</f>
        <v>5217.0272000000004</v>
      </c>
      <c r="F48" s="427">
        <f>VLOOKUP(A48,'Evento Cotiz'!$A$49:$T$459,13,FALSE)</f>
        <v>1928.7919999999999</v>
      </c>
      <c r="G48" s="428">
        <f>Tabla1[[#This Row],[Cantidad]]*Tabla1[[#This Row],[P Piso]]</f>
        <v>96439.599999999991</v>
      </c>
      <c r="H48" s="433">
        <f>Tabla1[[#This Row],[P Piso]]-(Tabla1[[#This Row],[P Piso]]*20%)</f>
        <v>1543.0336</v>
      </c>
      <c r="I48" s="434">
        <f>IF((1-(Tabla1[[#This Row],[P Piso-20%]]/Tabla1[[#This Row],[P Oferta]]))=1,0,1-(Tabla1[[#This Row],[P Piso-20%]]/Tabla1[[#This Row],[P Oferta]]))</f>
        <v>0.7042312526183494</v>
      </c>
      <c r="J48" s="439">
        <f>Tabla1[[#This Row],[P Piso]]-(Tabla1[[#This Row],[P Piso]]*25%)</f>
        <v>1446.5940000000001</v>
      </c>
      <c r="K48" s="440">
        <f>IF((1-(Tabla1[[#This Row],[P Piso-25%]]/Tabla1[[#This Row],[P Oferta]]))=1,0,1-(Tabla1[[#This Row],[P Piso-25%]]/Tabla1[[#This Row],[P Oferta]]))</f>
        <v>0.72271679932970256</v>
      </c>
      <c r="L48" s="379"/>
      <c r="M48" s="469">
        <v>44</v>
      </c>
      <c r="N48" s="473"/>
      <c r="O48" s="473"/>
      <c r="P48" s="474"/>
      <c r="Q48" s="381"/>
      <c r="R48" s="380"/>
      <c r="S48" s="381"/>
      <c r="T48" s="106"/>
      <c r="U48" s="107"/>
      <c r="W48" s="377">
        <v>0</v>
      </c>
    </row>
    <row r="49" spans="1:23" ht="13.5" customHeight="1">
      <c r="A49" s="477">
        <v>118</v>
      </c>
      <c r="B49" s="478" t="s">
        <v>137</v>
      </c>
      <c r="C49" s="378" t="s">
        <v>365</v>
      </c>
      <c r="D49" s="387">
        <f>VLOOKUP(A49,'Evento Cotiz'!$W$49:$Y$455,3,FALSE)</f>
        <v>50</v>
      </c>
      <c r="E49" s="422">
        <f>VLOOKUP(A49,'Evento Cotiz'!$A$49:$T$459,12,FALSE)</f>
        <v>4697.9471999999996</v>
      </c>
      <c r="F49" s="427">
        <f>VLOOKUP(A49,'Evento Cotiz'!$A$49:$T$459,13,FALSE)</f>
        <v>1900.3792000000001</v>
      </c>
      <c r="G49" s="428">
        <f>Tabla1[[#This Row],[Cantidad]]*Tabla1[[#This Row],[P Piso]]</f>
        <v>95018.96</v>
      </c>
      <c r="H49" s="433">
        <f>Tabla1[[#This Row],[P Piso]]-(Tabla1[[#This Row],[P Piso]]*20%)</f>
        <v>1520.3033600000001</v>
      </c>
      <c r="I49" s="434">
        <f>IF((1-(Tabla1[[#This Row],[P Piso-20%]]/Tabla1[[#This Row],[P Oferta]]))=1,0,1-(Tabla1[[#This Row],[P Piso-20%]]/Tabla1[[#This Row],[P Oferta]]))</f>
        <v>0.6763898581065364</v>
      </c>
      <c r="J49" s="439">
        <f>Tabla1[[#This Row],[P Piso]]-(Tabla1[[#This Row],[P Piso]]*25%)</f>
        <v>1425.2844</v>
      </c>
      <c r="K49" s="440">
        <f>IF((1-(Tabla1[[#This Row],[P Piso-25%]]/Tabla1[[#This Row],[P Oferta]]))=1,0,1-(Tabla1[[#This Row],[P Piso-25%]]/Tabla1[[#This Row],[P Oferta]]))</f>
        <v>0.69661549197487793</v>
      </c>
      <c r="L49" s="379"/>
      <c r="M49" s="469">
        <v>45</v>
      </c>
      <c r="N49" s="473"/>
      <c r="O49" s="473"/>
      <c r="P49" s="474"/>
      <c r="Q49" s="381"/>
      <c r="R49" s="380"/>
      <c r="S49" s="381"/>
      <c r="T49" s="106"/>
      <c r="U49" s="107"/>
      <c r="W49" s="377">
        <v>0</v>
      </c>
    </row>
    <row r="50" spans="1:23" ht="13.5" customHeight="1">
      <c r="A50" s="477">
        <v>66</v>
      </c>
      <c r="B50" s="478" t="s">
        <v>85</v>
      </c>
      <c r="C50" s="378" t="s">
        <v>365</v>
      </c>
      <c r="D50" s="387">
        <f>VLOOKUP(A50,'Evento Cotiz'!$W$49:$Y$455,3,FALSE)</f>
        <v>60</v>
      </c>
      <c r="E50" s="422">
        <f>VLOOKUP(A50,'Evento Cotiz'!$A$49:$T$459,12,FALSE)</f>
        <v>7614.6304</v>
      </c>
      <c r="F50" s="427">
        <f>VLOOKUP(A50,'Evento Cotiz'!$A$49:$T$459,13,FALSE)</f>
        <v>1545.2192</v>
      </c>
      <c r="G50" s="428">
        <f>Tabla1[[#This Row],[Cantidad]]*Tabla1[[#This Row],[P Piso]]</f>
        <v>92713.152000000002</v>
      </c>
      <c r="H50" s="433">
        <f>Tabla1[[#This Row],[P Piso]]-(Tabla1[[#This Row],[P Piso]]*20%)</f>
        <v>1236.17536</v>
      </c>
      <c r="I50" s="434">
        <f>IF((1-(Tabla1[[#This Row],[P Piso-20%]]/Tabla1[[#This Row],[P Oferta]]))=1,0,1-(Tabla1[[#This Row],[P Piso-20%]]/Tabla1[[#This Row],[P Oferta]]))</f>
        <v>0.83765786452353619</v>
      </c>
      <c r="J50" s="439">
        <f>Tabla1[[#This Row],[P Piso]]-(Tabla1[[#This Row],[P Piso]]*25%)</f>
        <v>1158.9144000000001</v>
      </c>
      <c r="K50" s="440">
        <f>IF((1-(Tabla1[[#This Row],[P Piso-25%]]/Tabla1[[#This Row],[P Oferta]]))=1,0,1-(Tabla1[[#This Row],[P Piso-25%]]/Tabla1[[#This Row],[P Oferta]]))</f>
        <v>0.84780424799081511</v>
      </c>
      <c r="L50" s="379"/>
      <c r="M50" s="469">
        <v>46</v>
      </c>
      <c r="N50" s="473"/>
      <c r="O50" s="473"/>
      <c r="P50" s="474"/>
      <c r="Q50" s="381"/>
      <c r="R50" s="380"/>
      <c r="S50" s="381"/>
      <c r="T50" s="106"/>
      <c r="U50" s="107"/>
      <c r="W50" s="377">
        <v>0</v>
      </c>
    </row>
    <row r="51" spans="1:23" ht="13.5" customHeight="1">
      <c r="A51" s="477">
        <v>69</v>
      </c>
      <c r="B51" s="478" t="s">
        <v>88</v>
      </c>
      <c r="C51" s="378" t="s">
        <v>365</v>
      </c>
      <c r="D51" s="387">
        <f>VLOOKUP(A51,'Evento Cotiz'!$W$49:$Y$455,3,FALSE)</f>
        <v>60</v>
      </c>
      <c r="E51" s="422">
        <f>VLOOKUP(A51,'Evento Cotiz'!$A$49:$T$459,12,FALSE)</f>
        <v>10754.2448</v>
      </c>
      <c r="F51" s="427">
        <f>VLOOKUP(A51,'Evento Cotiz'!$A$49:$T$459,13,FALSE)</f>
        <v>1545.2192</v>
      </c>
      <c r="G51" s="428">
        <f>Tabla1[[#This Row],[Cantidad]]*Tabla1[[#This Row],[P Piso]]</f>
        <v>92713.152000000002</v>
      </c>
      <c r="H51" s="433">
        <f>Tabla1[[#This Row],[P Piso]]-(Tabla1[[#This Row],[P Piso]]*20%)</f>
        <v>1236.17536</v>
      </c>
      <c r="I51" s="434">
        <f>IF((1-(Tabla1[[#This Row],[P Piso-20%]]/Tabla1[[#This Row],[P Oferta]]))=1,0,1-(Tabla1[[#This Row],[P Piso-20%]]/Tabla1[[#This Row],[P Oferta]]))</f>
        <v>0.88505233208007317</v>
      </c>
      <c r="J51" s="439">
        <f>Tabla1[[#This Row],[P Piso]]-(Tabla1[[#This Row],[P Piso]]*25%)</f>
        <v>1158.9144000000001</v>
      </c>
      <c r="K51" s="440">
        <f>IF((1-(Tabla1[[#This Row],[P Piso-25%]]/Tabla1[[#This Row],[P Oferta]]))=1,0,1-(Tabla1[[#This Row],[P Piso-25%]]/Tabla1[[#This Row],[P Oferta]]))</f>
        <v>0.89223656132506857</v>
      </c>
      <c r="L51" s="379"/>
      <c r="M51" s="469">
        <v>47</v>
      </c>
      <c r="N51" s="473"/>
      <c r="O51" s="473"/>
      <c r="P51" s="474"/>
      <c r="Q51" s="381"/>
      <c r="R51" s="380"/>
      <c r="S51" s="381"/>
      <c r="T51" s="106"/>
      <c r="U51" s="107"/>
      <c r="W51" s="377">
        <v>0</v>
      </c>
    </row>
    <row r="52" spans="1:23" ht="13.5" customHeight="1">
      <c r="A52" s="477">
        <v>70</v>
      </c>
      <c r="B52" s="478" t="s">
        <v>89</v>
      </c>
      <c r="C52" s="378" t="s">
        <v>365</v>
      </c>
      <c r="D52" s="387">
        <f>VLOOKUP(A52,'Evento Cotiz'!$W$49:$Y$455,3,FALSE)</f>
        <v>60</v>
      </c>
      <c r="E52" s="422">
        <f>VLOOKUP(A52,'Evento Cotiz'!$A$49:$T$459,12,FALSE)</f>
        <v>11088.641599999999</v>
      </c>
      <c r="F52" s="427">
        <f>VLOOKUP(A52,'Evento Cotiz'!$A$49:$T$459,13,FALSE)</f>
        <v>1545.2192</v>
      </c>
      <c r="G52" s="428">
        <f>Tabla1[[#This Row],[Cantidad]]*Tabla1[[#This Row],[P Piso]]</f>
        <v>92713.152000000002</v>
      </c>
      <c r="H52" s="433">
        <f>Tabla1[[#This Row],[P Piso]]-(Tabla1[[#This Row],[P Piso]]*20%)</f>
        <v>1236.17536</v>
      </c>
      <c r="I52" s="434">
        <f>IF((1-(Tabla1[[#This Row],[P Piso-20%]]/Tabla1[[#This Row],[P Oferta]]))=1,0,1-(Tabla1[[#This Row],[P Piso-20%]]/Tabla1[[#This Row],[P Oferta]]))</f>
        <v>0.8885187740218784</v>
      </c>
      <c r="J52" s="439">
        <f>Tabla1[[#This Row],[P Piso]]-(Tabla1[[#This Row],[P Piso]]*25%)</f>
        <v>1158.9144000000001</v>
      </c>
      <c r="K52" s="440">
        <f>IF((1-(Tabla1[[#This Row],[P Piso-25%]]/Tabla1[[#This Row],[P Oferta]]))=1,0,1-(Tabla1[[#This Row],[P Piso-25%]]/Tabla1[[#This Row],[P Oferta]]))</f>
        <v>0.89548635064551096</v>
      </c>
      <c r="L52" s="379"/>
      <c r="M52" s="469">
        <v>48</v>
      </c>
      <c r="N52" s="473"/>
      <c r="O52" s="473"/>
      <c r="P52" s="474"/>
      <c r="Q52" s="381"/>
      <c r="R52" s="380"/>
      <c r="S52" s="381"/>
      <c r="T52" s="106"/>
      <c r="U52" s="107"/>
      <c r="W52" s="377">
        <v>0</v>
      </c>
    </row>
    <row r="53" spans="1:23" ht="13.5" customHeight="1">
      <c r="A53" s="477">
        <v>72</v>
      </c>
      <c r="B53" s="478" t="s">
        <v>91</v>
      </c>
      <c r="C53" s="378" t="s">
        <v>365</v>
      </c>
      <c r="D53" s="387">
        <f>VLOOKUP(A53,'Evento Cotiz'!$W$49:$Y$455,3,FALSE)</f>
        <v>60</v>
      </c>
      <c r="E53" s="422">
        <f>VLOOKUP(A53,'Evento Cotiz'!$A$49:$T$459,12,FALSE)</f>
        <v>4895.7439999999997</v>
      </c>
      <c r="F53" s="427">
        <f>VLOOKUP(A53,'Evento Cotiz'!$A$49:$T$459,13,FALSE)</f>
        <v>1443.5888</v>
      </c>
      <c r="G53" s="428">
        <f>Tabla1[[#This Row],[Cantidad]]*Tabla1[[#This Row],[P Piso]]</f>
        <v>86615.327999999994</v>
      </c>
      <c r="H53" s="433">
        <f>Tabla1[[#This Row],[P Piso]]-(Tabla1[[#This Row],[P Piso]]*20%)</f>
        <v>1154.87104</v>
      </c>
      <c r="I53" s="434">
        <f>IF((1-(Tabla1[[#This Row],[P Piso-20%]]/Tabla1[[#This Row],[P Oferta]]))=1,0,1-(Tabla1[[#This Row],[P Piso-20%]]/Tabla1[[#This Row],[P Oferta]]))</f>
        <v>0.76410714285714287</v>
      </c>
      <c r="J53" s="439">
        <f>Tabla1[[#This Row],[P Piso]]-(Tabla1[[#This Row],[P Piso]]*25%)</f>
        <v>1082.6916000000001</v>
      </c>
      <c r="K53" s="440">
        <f>IF((1-(Tabla1[[#This Row],[P Piso-25%]]/Tabla1[[#This Row],[P Oferta]]))=1,0,1-(Tabla1[[#This Row],[P Piso-25%]]/Tabla1[[#This Row],[P Oferta]]))</f>
        <v>0.77885044642857137</v>
      </c>
      <c r="L53" s="379"/>
      <c r="M53" s="469">
        <v>49</v>
      </c>
      <c r="N53" s="473"/>
      <c r="O53" s="473"/>
      <c r="P53" s="474"/>
      <c r="Q53" s="381"/>
      <c r="R53" s="380"/>
      <c r="S53" s="381"/>
      <c r="T53" s="106"/>
      <c r="U53" s="107"/>
      <c r="W53" s="377">
        <v>0</v>
      </c>
    </row>
    <row r="54" spans="1:23">
      <c r="A54" s="477">
        <v>64</v>
      </c>
      <c r="B54" s="478" t="s">
        <v>83</v>
      </c>
      <c r="C54" s="378" t="s">
        <v>365</v>
      </c>
      <c r="D54" s="387">
        <f>VLOOKUP(A54,'Evento Cotiz'!$W$49:$Y$455,3,FALSE)</f>
        <v>60</v>
      </c>
      <c r="E54" s="422">
        <f>VLOOKUP(A54,'Evento Cotiz'!$A$49:$T$459,12,FALSE)</f>
        <v>5722.9935999999998</v>
      </c>
      <c r="F54" s="427">
        <f>VLOOKUP(A54,'Evento Cotiz'!$A$49:$T$459,13,FALSE)</f>
        <v>1251.2560000000001</v>
      </c>
      <c r="G54" s="428">
        <f>Tabla1[[#This Row],[Cantidad]]*Tabla1[[#This Row],[P Piso]]</f>
        <v>75075.360000000001</v>
      </c>
      <c r="H54" s="433">
        <f>Tabla1[[#This Row],[P Piso]]-(Tabla1[[#This Row],[P Piso]]*20%)</f>
        <v>1001.0048</v>
      </c>
      <c r="I54" s="434">
        <f>IF((1-(Tabla1[[#This Row],[P Piso-20%]]/Tabla1[[#This Row],[P Oferta]]))=1,0,1-(Tabla1[[#This Row],[P Piso-20%]]/Tabla1[[#This Row],[P Oferta]]))</f>
        <v>0.82509070078289093</v>
      </c>
      <c r="J54" s="439">
        <f>Tabla1[[#This Row],[P Piso]]-(Tabla1[[#This Row],[P Piso]]*25%)</f>
        <v>938.44200000000001</v>
      </c>
      <c r="K54" s="440">
        <f>IF((1-(Tabla1[[#This Row],[P Piso-25%]]/Tabla1[[#This Row],[P Oferta]]))=1,0,1-(Tabla1[[#This Row],[P Piso-25%]]/Tabla1[[#This Row],[P Oferta]]))</f>
        <v>0.83602253198396026</v>
      </c>
      <c r="L54" s="379"/>
      <c r="M54" s="469">
        <v>50</v>
      </c>
      <c r="N54" s="473">
        <f>+(Tabla1[[#This Row],[Cantidad]]*Tabla1[[#This Row],[P Piso-20%]]*$K$1)*$N$3</f>
        <v>240241.152</v>
      </c>
      <c r="O54" s="473"/>
      <c r="P54" s="474"/>
      <c r="Q54" s="381"/>
      <c r="R54" s="380"/>
      <c r="S54" s="381"/>
      <c r="T54" s="106"/>
      <c r="U54" s="107"/>
      <c r="W54" s="377">
        <v>1</v>
      </c>
    </row>
    <row r="55" spans="1:23" ht="13.5" customHeight="1">
      <c r="A55" s="477">
        <v>121</v>
      </c>
      <c r="B55" s="478" t="s">
        <v>140</v>
      </c>
      <c r="C55" s="378" t="s">
        <v>365</v>
      </c>
      <c r="D55" s="387">
        <f>VLOOKUP(A55,'Evento Cotiz'!$W$49:$Y$455,3,FALSE)</f>
        <v>47</v>
      </c>
      <c r="E55" s="422">
        <f>VLOOKUP(A55,'Evento Cotiz'!$A$49:$T$459,12,FALSE)</f>
        <v>6008.2143999999998</v>
      </c>
      <c r="F55" s="427">
        <f>VLOOKUP(A55,'Evento Cotiz'!$A$49:$T$459,13,FALSE)</f>
        <v>1588.9312</v>
      </c>
      <c r="G55" s="428">
        <f>Tabla1[[#This Row],[Cantidad]]*Tabla1[[#This Row],[P Piso]]</f>
        <v>74679.766399999993</v>
      </c>
      <c r="H55" s="433">
        <f>Tabla1[[#This Row],[P Piso]]-(Tabla1[[#This Row],[P Piso]]*20%)</f>
        <v>1271.1449600000001</v>
      </c>
      <c r="I55" s="434">
        <f>IF((1-(Tabla1[[#This Row],[P Piso-20%]]/Tabla1[[#This Row],[P Oferta]]))=1,0,1-(Tabla1[[#This Row],[P Piso-20%]]/Tabla1[[#This Row],[P Oferta]]))</f>
        <v>0.78843215714805381</v>
      </c>
      <c r="J55" s="439">
        <f>Tabla1[[#This Row],[P Piso]]-(Tabla1[[#This Row],[P Piso]]*25%)</f>
        <v>1191.6984</v>
      </c>
      <c r="K55" s="440">
        <f>IF((1-(Tabla1[[#This Row],[P Piso-25%]]/Tabla1[[#This Row],[P Oferta]]))=1,0,1-(Tabla1[[#This Row],[P Piso-25%]]/Tabla1[[#This Row],[P Oferta]]))</f>
        <v>0.8016551473263005</v>
      </c>
      <c r="L55" s="379"/>
      <c r="M55" s="469">
        <v>51</v>
      </c>
      <c r="N55" s="473"/>
      <c r="O55" s="473"/>
      <c r="P55" s="474"/>
      <c r="Q55" s="381"/>
      <c r="R55" s="380"/>
      <c r="S55" s="381"/>
      <c r="T55" s="106"/>
      <c r="U55" s="107"/>
      <c r="W55" s="377">
        <v>0</v>
      </c>
    </row>
    <row r="56" spans="1:23" ht="13.5" customHeight="1">
      <c r="A56" s="477">
        <v>205</v>
      </c>
      <c r="B56" s="478" t="s">
        <v>224</v>
      </c>
      <c r="C56" s="378" t="s">
        <v>365</v>
      </c>
      <c r="D56" s="387">
        <f>VLOOKUP(A56,'Evento Cotiz'!$W$49:$Y$455,3,FALSE)</f>
        <v>26</v>
      </c>
      <c r="E56" s="422">
        <f>VLOOKUP(A56,'Evento Cotiz'!$A$49:$T$459,12,FALSE)</f>
        <v>6972.0640000000003</v>
      </c>
      <c r="F56" s="427">
        <f>VLOOKUP(A56,'Evento Cotiz'!$A$49:$T$459,13,FALSE)</f>
        <v>2641.2975999999999</v>
      </c>
      <c r="G56" s="428">
        <f>Tabla1[[#This Row],[Cantidad]]*Tabla1[[#This Row],[P Piso]]</f>
        <v>68673.737599999993</v>
      </c>
      <c r="H56" s="433">
        <f>Tabla1[[#This Row],[P Piso]]-(Tabla1[[#This Row],[P Piso]]*20%)</f>
        <v>2113.0380799999998</v>
      </c>
      <c r="I56" s="434">
        <f>IF((1-(Tabla1[[#This Row],[P Piso-20%]]/Tabla1[[#This Row],[P Oferta]]))=1,0,1-(Tabla1[[#This Row],[P Piso-20%]]/Tabla1[[#This Row],[P Oferta]]))</f>
        <v>0.69692789968652047</v>
      </c>
      <c r="J56" s="439">
        <f>Tabla1[[#This Row],[P Piso]]-(Tabla1[[#This Row],[P Piso]]*25%)</f>
        <v>1980.9731999999999</v>
      </c>
      <c r="K56" s="440">
        <f>IF((1-(Tabla1[[#This Row],[P Piso-25%]]/Tabla1[[#This Row],[P Oferta]]))=1,0,1-(Tabla1[[#This Row],[P Piso-25%]]/Tabla1[[#This Row],[P Oferta]]))</f>
        <v>0.71586990595611288</v>
      </c>
      <c r="L56" s="379"/>
      <c r="M56" s="469">
        <v>52</v>
      </c>
      <c r="N56" s="473"/>
      <c r="O56" s="473"/>
      <c r="P56" s="474"/>
      <c r="Q56" s="381"/>
      <c r="R56" s="380"/>
      <c r="S56" s="381"/>
      <c r="T56" s="106"/>
      <c r="U56" s="107"/>
      <c r="W56" s="377">
        <v>0</v>
      </c>
    </row>
    <row r="57" spans="1:23" ht="13.5" customHeight="1">
      <c r="A57" s="477">
        <v>124</v>
      </c>
      <c r="B57" s="478" t="s">
        <v>143</v>
      </c>
      <c r="C57" s="378" t="s">
        <v>365</v>
      </c>
      <c r="D57" s="387">
        <f>VLOOKUP(A57,'Evento Cotiz'!$W$49:$Y$455,3,FALSE)</f>
        <v>32</v>
      </c>
      <c r="E57" s="422">
        <f>VLOOKUP(A57,'Evento Cotiz'!$A$49:$T$459,12,FALSE)</f>
        <v>6625.6463999999996</v>
      </c>
      <c r="F57" s="427">
        <f>VLOOKUP(A57,'Evento Cotiz'!$A$49:$T$459,13,FALSE)</f>
        <v>1928.7919999999999</v>
      </c>
      <c r="G57" s="428">
        <f>Tabla1[[#This Row],[Cantidad]]*Tabla1[[#This Row],[P Piso]]</f>
        <v>61721.343999999997</v>
      </c>
      <c r="H57" s="433">
        <f>Tabla1[[#This Row],[P Piso]]-(Tabla1[[#This Row],[P Piso]]*20%)</f>
        <v>1543.0336</v>
      </c>
      <c r="I57" s="434">
        <f>IF((1-(Tabla1[[#This Row],[P Piso-20%]]/Tabla1[[#This Row],[P Oferta]]))=1,0,1-(Tabla1[[#This Row],[P Piso-20%]]/Tabla1[[#This Row],[P Oferta]]))</f>
        <v>0.76711199076364833</v>
      </c>
      <c r="J57" s="439">
        <f>Tabla1[[#This Row],[P Piso]]-(Tabla1[[#This Row],[P Piso]]*25%)</f>
        <v>1446.5940000000001</v>
      </c>
      <c r="K57" s="440">
        <f>IF((1-(Tabla1[[#This Row],[P Piso-25%]]/Tabla1[[#This Row],[P Oferta]]))=1,0,1-(Tabla1[[#This Row],[P Piso-25%]]/Tabla1[[#This Row],[P Oferta]]))</f>
        <v>0.78166749134092028</v>
      </c>
      <c r="L57" s="379"/>
      <c r="M57" s="469">
        <v>53</v>
      </c>
      <c r="N57" s="473"/>
      <c r="O57" s="473"/>
      <c r="P57" s="474"/>
      <c r="Q57" s="381"/>
      <c r="R57" s="380"/>
      <c r="S57" s="381"/>
      <c r="T57" s="106"/>
      <c r="U57" s="107"/>
      <c r="W57" s="377">
        <v>0</v>
      </c>
    </row>
    <row r="58" spans="1:23" ht="13.5" customHeight="1">
      <c r="A58" s="477">
        <v>35</v>
      </c>
      <c r="B58" s="478" t="s">
        <v>54</v>
      </c>
      <c r="C58" s="378" t="s">
        <v>365</v>
      </c>
      <c r="D58" s="387">
        <f>VLOOKUP(A58,'Evento Cotiz'!$W$49:$Y$455,3,FALSE)</f>
        <v>20</v>
      </c>
      <c r="E58" s="422">
        <f>VLOOKUP(A58,'Evento Cotiz'!$A$49:$T$459,12,FALSE)</f>
        <v>6638.76</v>
      </c>
      <c r="F58" s="427">
        <f>VLOOKUP(A58,'Evento Cotiz'!$A$49:$T$459,13,FALSE)</f>
        <v>2941.8175999999999</v>
      </c>
      <c r="G58" s="428">
        <f>Tabla1[[#This Row],[Cantidad]]*Tabla1[[#This Row],[P Piso]]</f>
        <v>58836.351999999999</v>
      </c>
      <c r="H58" s="433">
        <f>Tabla1[[#This Row],[P Piso]]-(Tabla1[[#This Row],[P Piso]]*20%)</f>
        <v>2353.45408</v>
      </c>
      <c r="I58" s="434">
        <f>IF((1-(Tabla1[[#This Row],[P Piso-20%]]/Tabla1[[#This Row],[P Oferta]]))=1,0,1-(Tabla1[[#This Row],[P Piso-20%]]/Tabla1[[#This Row],[P Oferta]]))</f>
        <v>0.64549794238683122</v>
      </c>
      <c r="J58" s="439">
        <f>Tabla1[[#This Row],[P Piso]]-(Tabla1[[#This Row],[P Piso]]*25%)</f>
        <v>2206.3631999999998</v>
      </c>
      <c r="K58" s="440">
        <f>IF((1-(Tabla1[[#This Row],[P Piso-25%]]/Tabla1[[#This Row],[P Oferta]]))=1,0,1-(Tabla1[[#This Row],[P Piso-25%]]/Tabla1[[#This Row],[P Oferta]]))</f>
        <v>0.66765432098765443</v>
      </c>
      <c r="L58" s="379"/>
      <c r="M58" s="469">
        <v>54</v>
      </c>
      <c r="N58" s="473"/>
      <c r="O58" s="473"/>
      <c r="P58" s="474"/>
      <c r="Q58" s="381"/>
      <c r="R58" s="380"/>
      <c r="S58" s="381"/>
      <c r="T58" s="106"/>
      <c r="U58" s="107"/>
      <c r="W58" s="377">
        <v>0</v>
      </c>
    </row>
    <row r="59" spans="1:23" ht="13.5" customHeight="1">
      <c r="A59" s="477">
        <v>113</v>
      </c>
      <c r="B59" s="478" t="s">
        <v>132</v>
      </c>
      <c r="C59" s="378" t="s">
        <v>365</v>
      </c>
      <c r="D59" s="387">
        <f>VLOOKUP(A59,'Evento Cotiz'!$W$49:$Y$455,3,FALSE)</f>
        <v>41</v>
      </c>
      <c r="E59" s="422">
        <f>VLOOKUP(A59,'Evento Cotiz'!$A$49:$T$459,12,FALSE)</f>
        <v>3621.5392000000002</v>
      </c>
      <c r="F59" s="427">
        <f>VLOOKUP(A59,'Evento Cotiz'!$A$49:$T$459,13,FALSE)</f>
        <v>1416.2688000000001</v>
      </c>
      <c r="G59" s="428">
        <f>Tabla1[[#This Row],[Cantidad]]*Tabla1[[#This Row],[P Piso]]</f>
        <v>58067.020800000006</v>
      </c>
      <c r="H59" s="433">
        <f>Tabla1[[#This Row],[P Piso]]-(Tabla1[[#This Row],[P Piso]]*20%)</f>
        <v>1133.01504</v>
      </c>
      <c r="I59" s="434">
        <f>IF((1-(Tabla1[[#This Row],[P Piso-20%]]/Tabla1[[#This Row],[P Oferta]]))=1,0,1-(Tabla1[[#This Row],[P Piso-20%]]/Tabla1[[#This Row],[P Oferta]]))</f>
        <v>0.68714544357272178</v>
      </c>
      <c r="J59" s="439">
        <f>Tabla1[[#This Row],[P Piso]]-(Tabla1[[#This Row],[P Piso]]*25%)</f>
        <v>1062.2016000000001</v>
      </c>
      <c r="K59" s="440">
        <f>IF((1-(Tabla1[[#This Row],[P Piso-25%]]/Tabla1[[#This Row],[P Oferta]]))=1,0,1-(Tabla1[[#This Row],[P Piso-25%]]/Tabla1[[#This Row],[P Oferta]]))</f>
        <v>0.70669885334942673</v>
      </c>
      <c r="L59" s="379"/>
      <c r="M59" s="469">
        <v>55</v>
      </c>
      <c r="N59" s="473"/>
      <c r="O59" s="473"/>
      <c r="P59" s="474"/>
      <c r="Q59" s="381"/>
      <c r="R59" s="380"/>
      <c r="S59" s="381"/>
      <c r="T59" s="106"/>
      <c r="U59" s="107"/>
      <c r="W59" s="377">
        <v>0</v>
      </c>
    </row>
    <row r="60" spans="1:23">
      <c r="A60" s="477">
        <v>114</v>
      </c>
      <c r="B60" s="478" t="s">
        <v>133</v>
      </c>
      <c r="C60" s="378" t="s">
        <v>365</v>
      </c>
      <c r="D60" s="387">
        <f>VLOOKUP(A60,'Evento Cotiz'!$W$49:$Y$455,3,FALSE)</f>
        <v>41</v>
      </c>
      <c r="E60" s="422">
        <f>VLOOKUP(A60,'Evento Cotiz'!$A$49:$T$459,12,FALSE)</f>
        <v>4141.7119999999995</v>
      </c>
      <c r="F60" s="427">
        <f>VLOOKUP(A60,'Evento Cotiz'!$A$49:$T$459,13,FALSE)</f>
        <v>1416.2688000000001</v>
      </c>
      <c r="G60" s="428">
        <f>Tabla1[[#This Row],[Cantidad]]*Tabla1[[#This Row],[P Piso]]</f>
        <v>58067.020800000006</v>
      </c>
      <c r="H60" s="433">
        <f>Tabla1[[#This Row],[P Piso]]-(Tabla1[[#This Row],[P Piso]]*20%)</f>
        <v>1133.01504</v>
      </c>
      <c r="I60" s="434">
        <f>IF((1-(Tabla1[[#This Row],[P Piso-20%]]/Tabla1[[#This Row],[P Oferta]]))=1,0,1-(Tabla1[[#This Row],[P Piso-20%]]/Tabla1[[#This Row],[P Oferta]]))</f>
        <v>0.72643799472295512</v>
      </c>
      <c r="J60" s="439">
        <f>Tabla1[[#This Row],[P Piso]]-(Tabla1[[#This Row],[P Piso]]*25%)</f>
        <v>1062.2016000000001</v>
      </c>
      <c r="K60" s="440">
        <f>IF((1-(Tabla1[[#This Row],[P Piso-25%]]/Tabla1[[#This Row],[P Oferta]]))=1,0,1-(Tabla1[[#This Row],[P Piso-25%]]/Tabla1[[#This Row],[P Oferta]]))</f>
        <v>0.74353562005277041</v>
      </c>
      <c r="L60" s="379"/>
      <c r="M60" s="469">
        <v>56</v>
      </c>
      <c r="N60" s="473"/>
      <c r="O60" s="473"/>
      <c r="P60" s="474"/>
      <c r="Q60" s="381"/>
      <c r="R60" s="380"/>
      <c r="S60" s="381"/>
      <c r="T60" s="106"/>
      <c r="U60" s="107"/>
      <c r="W60" s="377">
        <v>1</v>
      </c>
    </row>
    <row r="61" spans="1:23" ht="13.5" customHeight="1">
      <c r="A61" s="477">
        <v>41</v>
      </c>
      <c r="B61" s="478" t="s">
        <v>60</v>
      </c>
      <c r="C61" s="378" t="s">
        <v>365</v>
      </c>
      <c r="D61" s="387">
        <f>VLOOKUP(A61,'Evento Cotiz'!$W$49:$Y$455,3,FALSE)</f>
        <v>30</v>
      </c>
      <c r="E61" s="422">
        <f>VLOOKUP(A61,'Evento Cotiz'!$A$49:$T$459,12,FALSE)</f>
        <v>5649.7759999999998</v>
      </c>
      <c r="F61" s="427">
        <f>VLOOKUP(A61,'Evento Cotiz'!$A$49:$T$459,13,FALSE)</f>
        <v>1897.1007999999999</v>
      </c>
      <c r="G61" s="428">
        <f>Tabla1[[#This Row],[Cantidad]]*Tabla1[[#This Row],[P Piso]]</f>
        <v>56913.023999999998</v>
      </c>
      <c r="H61" s="433">
        <f>Tabla1[[#This Row],[P Piso]]-(Tabla1[[#This Row],[P Piso]]*20%)</f>
        <v>1517.68064</v>
      </c>
      <c r="I61" s="434">
        <f>IF((1-(Tabla1[[#This Row],[P Piso-20%]]/Tabla1[[#This Row],[P Oferta]]))=1,0,1-(Tabla1[[#This Row],[P Piso-20%]]/Tabla1[[#This Row],[P Oferta]]))</f>
        <v>0.73137330754352026</v>
      </c>
      <c r="J61" s="439">
        <f>Tabla1[[#This Row],[P Piso]]-(Tabla1[[#This Row],[P Piso]]*25%)</f>
        <v>1422.8255999999999</v>
      </c>
      <c r="K61" s="440">
        <f>IF((1-(Tabla1[[#This Row],[P Piso-25%]]/Tabla1[[#This Row],[P Oferta]]))=1,0,1-(Tabla1[[#This Row],[P Piso-25%]]/Tabla1[[#This Row],[P Oferta]]))</f>
        <v>0.74816247582205031</v>
      </c>
      <c r="L61" s="379"/>
      <c r="M61" s="469">
        <v>57</v>
      </c>
      <c r="N61" s="473"/>
      <c r="O61" s="473"/>
      <c r="P61" s="474"/>
      <c r="Q61" s="381"/>
      <c r="R61" s="380"/>
      <c r="S61" s="381"/>
      <c r="T61" s="106"/>
      <c r="U61" s="107"/>
      <c r="W61" s="377">
        <v>0</v>
      </c>
    </row>
    <row r="62" spans="1:23" ht="13.5" customHeight="1">
      <c r="A62" s="477">
        <v>155</v>
      </c>
      <c r="B62" s="478" t="s">
        <v>174</v>
      </c>
      <c r="C62" s="378" t="s">
        <v>365</v>
      </c>
      <c r="D62" s="387">
        <f>VLOOKUP(A62,'Evento Cotiz'!$W$49:$Y$455,3,FALSE)</f>
        <v>12</v>
      </c>
      <c r="E62" s="422">
        <f>VLOOKUP(A62,'Evento Cotiz'!$A$49:$T$459,12,FALSE)</f>
        <v>10914.886399999999</v>
      </c>
      <c r="F62" s="427">
        <f>VLOOKUP(A62,'Evento Cotiz'!$A$49:$T$459,13,FALSE)</f>
        <v>4680.4624000000003</v>
      </c>
      <c r="G62" s="428">
        <f>Tabla1[[#This Row],[Cantidad]]*Tabla1[[#This Row],[P Piso]]</f>
        <v>56165.548800000004</v>
      </c>
      <c r="H62" s="433">
        <f>Tabla1[[#This Row],[P Piso]]-(Tabla1[[#This Row],[P Piso]]*20%)</f>
        <v>3744.3699200000001</v>
      </c>
      <c r="I62" s="434">
        <f>IF((1-(Tabla1[[#This Row],[P Piso-20%]]/Tabla1[[#This Row],[P Oferta]]))=1,0,1-(Tabla1[[#This Row],[P Piso-20%]]/Tabla1[[#This Row],[P Oferta]]))</f>
        <v>0.6569483380056067</v>
      </c>
      <c r="J62" s="439">
        <f>Tabla1[[#This Row],[P Piso]]-(Tabla1[[#This Row],[P Piso]]*25%)</f>
        <v>3510.3468000000003</v>
      </c>
      <c r="K62" s="440">
        <f>IF((1-(Tabla1[[#This Row],[P Piso-25%]]/Tabla1[[#This Row],[P Oferta]]))=1,0,1-(Tabla1[[#This Row],[P Piso-25%]]/Tabla1[[#This Row],[P Oferta]]))</f>
        <v>0.67838906688025624</v>
      </c>
      <c r="L62" s="379"/>
      <c r="M62" s="469">
        <v>58</v>
      </c>
      <c r="N62" s="473"/>
      <c r="O62" s="473"/>
      <c r="P62" s="474"/>
      <c r="Q62" s="381"/>
      <c r="R62" s="380"/>
      <c r="S62" s="381"/>
      <c r="T62" s="106"/>
      <c r="U62" s="107"/>
      <c r="W62" s="377">
        <v>0</v>
      </c>
    </row>
    <row r="63" spans="1:23" ht="13.5" customHeight="1">
      <c r="A63" s="477">
        <v>184</v>
      </c>
      <c r="B63" s="478" t="s">
        <v>203</v>
      </c>
      <c r="C63" s="378" t="s">
        <v>365</v>
      </c>
      <c r="D63" s="387">
        <f>VLOOKUP(A63,'Evento Cotiz'!$W$49:$Y$455,3,FALSE)</f>
        <v>39</v>
      </c>
      <c r="E63" s="422">
        <f>VLOOKUP(A63,'Evento Cotiz'!$A$49:$T$459,12,FALSE)</f>
        <v>3078.4175999999998</v>
      </c>
      <c r="F63" s="427">
        <f>VLOOKUP(A63,'Evento Cotiz'!$A$49:$T$459,13,FALSE)</f>
        <v>1423.9184</v>
      </c>
      <c r="G63" s="428">
        <f>Tabla1[[#This Row],[Cantidad]]*Tabla1[[#This Row],[P Piso]]</f>
        <v>55532.817600000002</v>
      </c>
      <c r="H63" s="433">
        <f>Tabla1[[#This Row],[P Piso]]-(Tabla1[[#This Row],[P Piso]]*20%)</f>
        <v>1139.13472</v>
      </c>
      <c r="I63" s="434">
        <f>IF((1-(Tabla1[[#This Row],[P Piso-20%]]/Tabla1[[#This Row],[P Oferta]]))=1,0,1-(Tabla1[[#This Row],[P Piso-20%]]/Tabla1[[#This Row],[P Oferta]]))</f>
        <v>0.62996095136670216</v>
      </c>
      <c r="J63" s="439">
        <f>Tabla1[[#This Row],[P Piso]]-(Tabla1[[#This Row],[P Piso]]*25%)</f>
        <v>1067.9387999999999</v>
      </c>
      <c r="K63" s="440">
        <f>IF((1-(Tabla1[[#This Row],[P Piso-25%]]/Tabla1[[#This Row],[P Oferta]]))=1,0,1-(Tabla1[[#This Row],[P Piso-25%]]/Tabla1[[#This Row],[P Oferta]]))</f>
        <v>0.65308839190628332</v>
      </c>
      <c r="L63" s="379"/>
      <c r="M63" s="469">
        <v>59</v>
      </c>
      <c r="N63" s="473"/>
      <c r="O63" s="473"/>
      <c r="P63" s="474"/>
      <c r="Q63" s="381"/>
      <c r="R63" s="380"/>
      <c r="S63" s="381"/>
      <c r="T63" s="106"/>
      <c r="U63" s="107"/>
      <c r="W63" s="377">
        <v>0</v>
      </c>
    </row>
    <row r="64" spans="1:23">
      <c r="A64" s="477">
        <v>115</v>
      </c>
      <c r="B64" s="478" t="s">
        <v>134</v>
      </c>
      <c r="C64" s="378" t="s">
        <v>365</v>
      </c>
      <c r="D64" s="387">
        <f>VLOOKUP(A64,'Evento Cotiz'!$W$49:$Y$455,3,FALSE)</f>
        <v>39</v>
      </c>
      <c r="E64" s="422">
        <f>VLOOKUP(A64,'Evento Cotiz'!$A$49:$T$459,12,FALSE)</f>
        <v>4449.8815999999997</v>
      </c>
      <c r="F64" s="427">
        <f>VLOOKUP(A64,'Evento Cotiz'!$A$49:$T$459,13,FALSE)</f>
        <v>1416.2688000000001</v>
      </c>
      <c r="G64" s="428">
        <f>Tabla1[[#This Row],[Cantidad]]*Tabla1[[#This Row],[P Piso]]</f>
        <v>55234.483200000002</v>
      </c>
      <c r="H64" s="433">
        <f>Tabla1[[#This Row],[P Piso]]-(Tabla1[[#This Row],[P Piso]]*20%)</f>
        <v>1133.01504</v>
      </c>
      <c r="I64" s="434">
        <f>IF((1-(Tabla1[[#This Row],[P Piso-20%]]/Tabla1[[#This Row],[P Oferta]]))=1,0,1-(Tabla1[[#This Row],[P Piso-20%]]/Tabla1[[#This Row],[P Oferta]]))</f>
        <v>0.74538310412573672</v>
      </c>
      <c r="J64" s="439">
        <f>Tabla1[[#This Row],[P Piso]]-(Tabla1[[#This Row],[P Piso]]*25%)</f>
        <v>1062.2016000000001</v>
      </c>
      <c r="K64" s="440">
        <f>IF((1-(Tabla1[[#This Row],[P Piso-25%]]/Tabla1[[#This Row],[P Oferta]]))=1,0,1-(Tabla1[[#This Row],[P Piso-25%]]/Tabla1[[#This Row],[P Oferta]]))</f>
        <v>0.76129666011787811</v>
      </c>
      <c r="L64" s="379"/>
      <c r="M64" s="469">
        <v>60</v>
      </c>
      <c r="N64" s="473"/>
      <c r="O64" s="473"/>
      <c r="P64" s="474"/>
      <c r="Q64" s="381"/>
      <c r="R64" s="380"/>
      <c r="S64" s="381"/>
      <c r="T64" s="106"/>
      <c r="U64" s="107"/>
      <c r="W64" s="377">
        <v>2</v>
      </c>
    </row>
    <row r="65" spans="1:23">
      <c r="A65" s="477">
        <v>112</v>
      </c>
      <c r="B65" s="478" t="s">
        <v>131</v>
      </c>
      <c r="C65" s="378" t="s">
        <v>365</v>
      </c>
      <c r="D65" s="387">
        <f>VLOOKUP(A65,'Evento Cotiz'!$W$49:$Y$455,3,FALSE)</f>
        <v>41</v>
      </c>
      <c r="E65" s="422">
        <f>VLOOKUP(A65,'Evento Cotiz'!$A$49:$T$459,12,FALSE)</f>
        <v>3127.5936000000002</v>
      </c>
      <c r="F65" s="427">
        <f>VLOOKUP(A65,'Evento Cotiz'!$A$49:$T$459,13,FALSE)</f>
        <v>1335.4015999999999</v>
      </c>
      <c r="G65" s="428">
        <f>Tabla1[[#This Row],[Cantidad]]*Tabla1[[#This Row],[P Piso]]</f>
        <v>54751.465599999996</v>
      </c>
      <c r="H65" s="433">
        <f>Tabla1[[#This Row],[P Piso]]-(Tabla1[[#This Row],[P Piso]]*20%)</f>
        <v>1068.3212799999999</v>
      </c>
      <c r="I65" s="434">
        <f>IF((1-(Tabla1[[#This Row],[P Piso-20%]]/Tabla1[[#This Row],[P Oferta]]))=1,0,1-(Tabla1[[#This Row],[P Piso-20%]]/Tabla1[[#This Row],[P Oferta]]))</f>
        <v>0.6584206848357792</v>
      </c>
      <c r="J65" s="439">
        <f>Tabla1[[#This Row],[P Piso]]-(Tabla1[[#This Row],[P Piso]]*25%)</f>
        <v>1001.5511999999999</v>
      </c>
      <c r="K65" s="440">
        <f>IF((1-(Tabla1[[#This Row],[P Piso-25%]]/Tabla1[[#This Row],[P Oferta]]))=1,0,1-(Tabla1[[#This Row],[P Piso-25%]]/Tabla1[[#This Row],[P Oferta]]))</f>
        <v>0.67976939203354303</v>
      </c>
      <c r="L65" s="379"/>
      <c r="M65" s="469">
        <v>61</v>
      </c>
      <c r="N65" s="473"/>
      <c r="O65" s="473"/>
      <c r="P65" s="474"/>
      <c r="Q65" s="381"/>
      <c r="R65" s="380"/>
      <c r="S65" s="381"/>
      <c r="T65" s="106"/>
      <c r="U65" s="107"/>
      <c r="W65" s="377">
        <v>2</v>
      </c>
    </row>
    <row r="66" spans="1:23" ht="13.5" customHeight="1">
      <c r="A66" s="477">
        <v>127</v>
      </c>
      <c r="B66" s="478" t="s">
        <v>146</v>
      </c>
      <c r="C66" s="378" t="s">
        <v>365</v>
      </c>
      <c r="D66" s="387">
        <f>VLOOKUP(A66,'Evento Cotiz'!$W$49:$Y$455,3,FALSE)</f>
        <v>18</v>
      </c>
      <c r="E66" s="422">
        <f>VLOOKUP(A66,'Evento Cotiz'!$A$49:$T$459,12,FALSE)</f>
        <v>9357.6463999999996</v>
      </c>
      <c r="F66" s="427">
        <f>VLOOKUP(A66,'Evento Cotiz'!$A$49:$T$459,13,FALSE)</f>
        <v>2330.9423999999999</v>
      </c>
      <c r="G66" s="428">
        <f>Tabla1[[#This Row],[Cantidad]]*Tabla1[[#This Row],[P Piso]]</f>
        <v>41956.963199999998</v>
      </c>
      <c r="H66" s="433">
        <f>Tabla1[[#This Row],[P Piso]]-(Tabla1[[#This Row],[P Piso]]*20%)</f>
        <v>1864.7539199999999</v>
      </c>
      <c r="I66" s="434">
        <f>IF((1-(Tabla1[[#This Row],[P Piso-20%]]/Tabla1[[#This Row],[P Oferta]]))=1,0,1-(Tabla1[[#This Row],[P Piso-20%]]/Tabla1[[#This Row],[P Oferta]]))</f>
        <v>0.80072404531122277</v>
      </c>
      <c r="J66" s="439">
        <f>Tabla1[[#This Row],[P Piso]]-(Tabla1[[#This Row],[P Piso]]*25%)</f>
        <v>1748.2067999999999</v>
      </c>
      <c r="K66" s="440">
        <f>IF((1-(Tabla1[[#This Row],[P Piso-25%]]/Tabla1[[#This Row],[P Oferta]]))=1,0,1-(Tabla1[[#This Row],[P Piso-25%]]/Tabla1[[#This Row],[P Oferta]]))</f>
        <v>0.81317879247927127</v>
      </c>
      <c r="L66" s="379"/>
      <c r="M66" s="469">
        <v>62</v>
      </c>
      <c r="N66" s="473"/>
      <c r="O66" s="473"/>
      <c r="P66" s="474"/>
      <c r="Q66" s="381"/>
      <c r="R66" s="380"/>
      <c r="S66" s="381"/>
      <c r="T66" s="106"/>
      <c r="U66" s="107"/>
      <c r="W66" s="377">
        <v>0</v>
      </c>
    </row>
    <row r="67" spans="1:23" ht="13.5" customHeight="1">
      <c r="A67" s="477">
        <v>26</v>
      </c>
      <c r="B67" s="478" t="s">
        <v>45</v>
      </c>
      <c r="C67" s="378" t="s">
        <v>365</v>
      </c>
      <c r="D67" s="387">
        <f>VLOOKUP(A67,'Evento Cotiz'!$W$49:$Y$455,3,FALSE)</f>
        <v>12</v>
      </c>
      <c r="E67" s="422">
        <f>VLOOKUP(A67,'Evento Cotiz'!$A$49:$T$459,12,FALSE)</f>
        <v>7219.0367999999999</v>
      </c>
      <c r="F67" s="427">
        <f>VLOOKUP(A67,'Evento Cotiz'!$A$49:$T$459,13,FALSE)</f>
        <v>3353.8031999999998</v>
      </c>
      <c r="G67" s="428">
        <f>Tabla1[[#This Row],[Cantidad]]*Tabla1[[#This Row],[P Piso]]</f>
        <v>40245.638399999996</v>
      </c>
      <c r="H67" s="433">
        <f>Tabla1[[#This Row],[P Piso]]-(Tabla1[[#This Row],[P Piso]]*20%)</f>
        <v>2683.0425599999999</v>
      </c>
      <c r="I67" s="434">
        <f>IF((1-(Tabla1[[#This Row],[P Piso-20%]]/Tabla1[[#This Row],[P Oferta]]))=1,0,1-(Tabla1[[#This Row],[P Piso-20%]]/Tabla1[[#This Row],[P Oferta]]))</f>
        <v>0.62833787465940061</v>
      </c>
      <c r="J67" s="439">
        <f>Tabla1[[#This Row],[P Piso]]-(Tabla1[[#This Row],[P Piso]]*25%)</f>
        <v>2515.3523999999998</v>
      </c>
      <c r="K67" s="440">
        <f>IF((1-(Tabla1[[#This Row],[P Piso-25%]]/Tabla1[[#This Row],[P Oferta]]))=1,0,1-(Tabla1[[#This Row],[P Piso-25%]]/Tabla1[[#This Row],[P Oferta]]))</f>
        <v>0.65156675749318804</v>
      </c>
      <c r="L67" s="379"/>
      <c r="M67" s="469">
        <v>63</v>
      </c>
      <c r="N67" s="473"/>
      <c r="O67" s="473"/>
      <c r="P67" s="474"/>
      <c r="Q67" s="381"/>
      <c r="R67" s="380"/>
      <c r="S67" s="381"/>
      <c r="T67" s="106"/>
      <c r="U67" s="107"/>
      <c r="W67" s="377">
        <v>0</v>
      </c>
    </row>
    <row r="68" spans="1:23">
      <c r="A68" s="477">
        <v>175</v>
      </c>
      <c r="B68" s="478" t="s">
        <v>194</v>
      </c>
      <c r="C68" s="378" t="s">
        <v>365</v>
      </c>
      <c r="D68" s="387">
        <f>VLOOKUP(A68,'Evento Cotiz'!$W$49:$Y$455,3,FALSE)</f>
        <v>5</v>
      </c>
      <c r="E68" s="422">
        <f>VLOOKUP(A68,'Evento Cotiz'!$A$49:$T$459,12,FALSE)</f>
        <v>15105.7744</v>
      </c>
      <c r="F68" s="427">
        <f>VLOOKUP(A68,'Evento Cotiz'!$A$49:$T$459,13,FALSE)</f>
        <v>7977.44</v>
      </c>
      <c r="G68" s="428">
        <f>Tabla1[[#This Row],[Cantidad]]*Tabla1[[#This Row],[P Piso]]</f>
        <v>39887.199999999997</v>
      </c>
      <c r="H68" s="433">
        <f>Tabla1[[#This Row],[P Piso]]-(Tabla1[[#This Row],[P Piso]]*20%)</f>
        <v>6381.9519999999993</v>
      </c>
      <c r="I68" s="434">
        <f>IF((1-(Tabla1[[#This Row],[P Piso-20%]]/Tabla1[[#This Row],[P Oferta]]))=1,0,1-(Tabla1[[#This Row],[P Piso-20%]]/Tabla1[[#This Row],[P Oferta]]))</f>
        <v>0.57751573464515671</v>
      </c>
      <c r="J68" s="439">
        <f>Tabla1[[#This Row],[P Piso]]-(Tabla1[[#This Row],[P Piso]]*25%)</f>
        <v>5983.08</v>
      </c>
      <c r="K68" s="440">
        <f>IF((1-(Tabla1[[#This Row],[P Piso-25%]]/Tabla1[[#This Row],[P Oferta]]))=1,0,1-(Tabla1[[#This Row],[P Piso-25%]]/Tabla1[[#This Row],[P Oferta]]))</f>
        <v>0.60392100122983439</v>
      </c>
      <c r="L68" s="379"/>
      <c r="M68" s="469">
        <v>64</v>
      </c>
      <c r="N68" s="473"/>
      <c r="O68" s="473"/>
      <c r="P68" s="474"/>
      <c r="Q68" s="381"/>
      <c r="R68" s="380"/>
      <c r="S68" s="381"/>
      <c r="T68" s="106"/>
      <c r="U68" s="107"/>
      <c r="W68" s="377">
        <v>5</v>
      </c>
    </row>
    <row r="69" spans="1:23" ht="13.5" customHeight="1">
      <c r="A69" s="477">
        <v>159</v>
      </c>
      <c r="B69" s="478" t="s">
        <v>178</v>
      </c>
      <c r="C69" s="378" t="s">
        <v>365</v>
      </c>
      <c r="D69" s="387">
        <f>VLOOKUP(A69,'Evento Cotiz'!$W$49:$Y$455,3,FALSE)</f>
        <v>17</v>
      </c>
      <c r="E69" s="422">
        <f>VLOOKUP(A69,'Evento Cotiz'!$A$49:$T$459,12,FALSE)</f>
        <v>8270.3104000000003</v>
      </c>
      <c r="F69" s="427">
        <f>VLOOKUP(A69,'Evento Cotiz'!$A$49:$T$459,13,FALSE)</f>
        <v>2327.6639999999998</v>
      </c>
      <c r="G69" s="428">
        <f>Tabla1[[#This Row],[Cantidad]]*Tabla1[[#This Row],[P Piso]]</f>
        <v>39570.287999999993</v>
      </c>
      <c r="H69" s="433">
        <f>Tabla1[[#This Row],[P Piso]]-(Tabla1[[#This Row],[P Piso]]*20%)</f>
        <v>1862.1311999999998</v>
      </c>
      <c r="I69" s="434">
        <f>IF((1-(Tabla1[[#This Row],[P Piso-20%]]/Tabla1[[#This Row],[P Oferta]]))=1,0,1-(Tabla1[[#This Row],[P Piso-20%]]/Tabla1[[#This Row],[P Oferta]]))</f>
        <v>0.77484143763213531</v>
      </c>
      <c r="J69" s="439">
        <f>Tabla1[[#This Row],[P Piso]]-(Tabla1[[#This Row],[P Piso]]*25%)</f>
        <v>1745.7479999999998</v>
      </c>
      <c r="K69" s="440">
        <f>IF((1-(Tabla1[[#This Row],[P Piso-25%]]/Tabla1[[#This Row],[P Oferta]]))=1,0,1-(Tabla1[[#This Row],[P Piso-25%]]/Tabla1[[#This Row],[P Oferta]]))</f>
        <v>0.78891384778012685</v>
      </c>
      <c r="L69" s="379"/>
      <c r="M69" s="469">
        <v>65</v>
      </c>
      <c r="N69" s="473"/>
      <c r="O69" s="473"/>
      <c r="P69" s="474"/>
      <c r="Q69" s="381"/>
      <c r="R69" s="380"/>
      <c r="S69" s="381"/>
      <c r="T69" s="106"/>
      <c r="U69" s="107"/>
      <c r="W69" s="377">
        <v>0</v>
      </c>
    </row>
    <row r="70" spans="1:23" ht="13.5" customHeight="1">
      <c r="A70" s="477">
        <v>75</v>
      </c>
      <c r="B70" s="478" t="s">
        <v>94</v>
      </c>
      <c r="C70" s="378" t="s">
        <v>365</v>
      </c>
      <c r="D70" s="387">
        <f>VLOOKUP(A70,'Evento Cotiz'!$W$49:$Y$455,3,FALSE)</f>
        <v>60</v>
      </c>
      <c r="E70" s="422">
        <f>VLOOKUP(A70,'Evento Cotiz'!$A$49:$T$459,12,FALSE)</f>
        <v>2089.4335999999998</v>
      </c>
      <c r="F70" s="427">
        <f>VLOOKUP(A70,'Evento Cotiz'!$A$49:$T$459,13,FALSE)</f>
        <v>649.1232</v>
      </c>
      <c r="G70" s="428">
        <f>Tabla1[[#This Row],[Cantidad]]*Tabla1[[#This Row],[P Piso]]</f>
        <v>38947.392</v>
      </c>
      <c r="H70" s="433">
        <f>Tabla1[[#This Row],[P Piso]]-(Tabla1[[#This Row],[P Piso]]*20%)</f>
        <v>519.29855999999995</v>
      </c>
      <c r="I70" s="434">
        <f>IF((1-(Tabla1[[#This Row],[P Piso-20%]]/Tabla1[[#This Row],[P Oferta]]))=1,0,1-(Tabla1[[#This Row],[P Piso-20%]]/Tabla1[[#This Row],[P Oferta]]))</f>
        <v>0.75146443514644345</v>
      </c>
      <c r="J70" s="439">
        <f>Tabla1[[#This Row],[P Piso]]-(Tabla1[[#This Row],[P Piso]]*25%)</f>
        <v>486.8424</v>
      </c>
      <c r="K70" s="440">
        <f>IF((1-(Tabla1[[#This Row],[P Piso-25%]]/Tabla1[[#This Row],[P Oferta]]))=1,0,1-(Tabla1[[#This Row],[P Piso-25%]]/Tabla1[[#This Row],[P Oferta]]))</f>
        <v>0.76699790794979084</v>
      </c>
      <c r="L70" s="379"/>
      <c r="M70" s="469">
        <v>66</v>
      </c>
      <c r="N70" s="473"/>
      <c r="O70" s="473"/>
      <c r="P70" s="474"/>
      <c r="Q70" s="381"/>
      <c r="R70" s="380"/>
      <c r="S70" s="381"/>
      <c r="T70" s="106"/>
      <c r="U70" s="107"/>
      <c r="W70" s="377">
        <v>0</v>
      </c>
    </row>
    <row r="71" spans="1:23" ht="13.5" customHeight="1">
      <c r="A71" s="477">
        <v>207</v>
      </c>
      <c r="B71" s="478" t="s">
        <v>226</v>
      </c>
      <c r="C71" s="378" t="s">
        <v>365</v>
      </c>
      <c r="D71" s="387">
        <f>VLOOKUP(A71,'Evento Cotiz'!$W$49:$Y$455,3,FALSE)</f>
        <v>25.5</v>
      </c>
      <c r="E71" s="422">
        <f>VLOOKUP(A71,'Evento Cotiz'!$A$49:$T$459,12,FALSE)</f>
        <v>4326.3951999999999</v>
      </c>
      <c r="F71" s="427">
        <f>VLOOKUP(A71,'Evento Cotiz'!$A$49:$T$459,13,FALSE)</f>
        <v>1491.672</v>
      </c>
      <c r="G71" s="428">
        <f>Tabla1[[#This Row],[Cantidad]]*Tabla1[[#This Row],[P Piso]]</f>
        <v>38037.635999999999</v>
      </c>
      <c r="H71" s="433">
        <f>Tabla1[[#This Row],[P Piso]]-(Tabla1[[#This Row],[P Piso]]*20%)</f>
        <v>1193.3376000000001</v>
      </c>
      <c r="I71" s="434">
        <f>IF((1-(Tabla1[[#This Row],[P Piso-20%]]/Tabla1[[#This Row],[P Oferta]]))=1,0,1-(Tabla1[[#This Row],[P Piso-20%]]/Tabla1[[#This Row],[P Oferta]]))</f>
        <v>0.72417277090174292</v>
      </c>
      <c r="J71" s="439">
        <f>Tabla1[[#This Row],[P Piso]]-(Tabla1[[#This Row],[P Piso]]*25%)</f>
        <v>1118.7539999999999</v>
      </c>
      <c r="K71" s="440">
        <f>IF((1-(Tabla1[[#This Row],[P Piso-25%]]/Tabla1[[#This Row],[P Oferta]]))=1,0,1-(Tabla1[[#This Row],[P Piso-25%]]/Tabla1[[#This Row],[P Oferta]]))</f>
        <v>0.74141197272038395</v>
      </c>
      <c r="L71" s="379"/>
      <c r="M71" s="469">
        <v>67</v>
      </c>
      <c r="N71" s="473"/>
      <c r="O71" s="473"/>
      <c r="P71" s="474"/>
      <c r="Q71" s="381"/>
      <c r="R71" s="380"/>
      <c r="S71" s="381"/>
      <c r="T71" s="106"/>
      <c r="U71" s="107"/>
      <c r="W71" s="377">
        <v>0</v>
      </c>
    </row>
    <row r="72" spans="1:23" ht="13.5" customHeight="1">
      <c r="A72" s="477">
        <v>281</v>
      </c>
      <c r="B72" s="478" t="s">
        <v>269</v>
      </c>
      <c r="C72" s="378" t="s">
        <v>366</v>
      </c>
      <c r="D72" s="387">
        <f>VLOOKUP(A72,'Evento Cotiz'!$W$49:$Y$455,3,FALSE)</f>
        <v>4</v>
      </c>
      <c r="E72" s="422">
        <f>VLOOKUP(A72,'Evento Cotiz'!$A$49:$T$459,12,FALSE)</f>
        <v>33624.3632</v>
      </c>
      <c r="F72" s="427">
        <f>VLOOKUP(A72,'Evento Cotiz'!$A$49:$T$459,13,FALSE)</f>
        <v>9264.7584000000006</v>
      </c>
      <c r="G72" s="428">
        <f>Tabla1[[#This Row],[Cantidad]]*Tabla1[[#This Row],[P Piso]]</f>
        <v>37059.033600000002</v>
      </c>
      <c r="H72" s="433">
        <f>Tabla1[[#This Row],[P Piso]]-(Tabla1[[#This Row],[P Piso]]*20%)</f>
        <v>7411.8067200000005</v>
      </c>
      <c r="I72" s="434">
        <f>IF((1-(Tabla1[[#This Row],[P Piso-20%]]/Tabla1[[#This Row],[P Oferta]]))=1,0,1-(Tabla1[[#This Row],[P Piso-20%]]/Tabla1[[#This Row],[P Oferta]]))</f>
        <v>0.77957034677760084</v>
      </c>
      <c r="J72" s="439">
        <f>Tabla1[[#This Row],[P Piso]]-(Tabla1[[#This Row],[P Piso]]*25%)</f>
        <v>6948.5688000000009</v>
      </c>
      <c r="K72" s="440">
        <f>IF((1-(Tabla1[[#This Row],[P Piso-25%]]/Tabla1[[#This Row],[P Oferta]]))=1,0,1-(Tabla1[[#This Row],[P Piso-25%]]/Tabla1[[#This Row],[P Oferta]]))</f>
        <v>0.79334720010400073</v>
      </c>
      <c r="L72" s="379"/>
      <c r="M72" s="469">
        <v>68</v>
      </c>
      <c r="N72" s="473"/>
      <c r="O72" s="473"/>
      <c r="P72" s="474"/>
      <c r="Q72" s="381"/>
      <c r="R72" s="380"/>
      <c r="S72" s="381"/>
      <c r="T72" s="106"/>
      <c r="U72" s="107"/>
      <c r="W72" s="377">
        <v>0</v>
      </c>
    </row>
    <row r="73" spans="1:23" ht="13.5" customHeight="1">
      <c r="A73" s="477">
        <v>163</v>
      </c>
      <c r="B73" s="478" t="s">
        <v>182</v>
      </c>
      <c r="C73" s="378" t="s">
        <v>365</v>
      </c>
      <c r="D73" s="387">
        <f>VLOOKUP(A73,'Evento Cotiz'!$W$49:$Y$455,3,FALSE)</f>
        <v>13</v>
      </c>
      <c r="E73" s="422">
        <f>VLOOKUP(A73,'Evento Cotiz'!$A$49:$T$459,12,FALSE)</f>
        <v>6490.1391999999996</v>
      </c>
      <c r="F73" s="427">
        <f>VLOOKUP(A73,'Evento Cotiz'!$A$49:$T$459,13,FALSE)</f>
        <v>2471.9135999999999</v>
      </c>
      <c r="G73" s="428">
        <f>Tabla1[[#This Row],[Cantidad]]*Tabla1[[#This Row],[P Piso]]</f>
        <v>32134.876799999998</v>
      </c>
      <c r="H73" s="433">
        <f>Tabla1[[#This Row],[P Piso]]-(Tabla1[[#This Row],[P Piso]]*20%)</f>
        <v>1977.5308799999998</v>
      </c>
      <c r="I73" s="434">
        <f>IF((1-(Tabla1[[#This Row],[P Piso-20%]]/Tabla1[[#This Row],[P Oferta]]))=1,0,1-(Tabla1[[#This Row],[P Piso-20%]]/Tabla1[[#This Row],[P Oferta]]))</f>
        <v>0.69530223943424818</v>
      </c>
      <c r="J73" s="439">
        <f>Tabla1[[#This Row],[P Piso]]-(Tabla1[[#This Row],[P Piso]]*25%)</f>
        <v>1853.9351999999999</v>
      </c>
      <c r="K73" s="440">
        <f>IF((1-(Tabla1[[#This Row],[P Piso-25%]]/Tabla1[[#This Row],[P Oferta]]))=1,0,1-(Tabla1[[#This Row],[P Piso-25%]]/Tabla1[[#This Row],[P Oferta]]))</f>
        <v>0.71434584946960766</v>
      </c>
      <c r="L73" s="379"/>
      <c r="M73" s="469">
        <v>69</v>
      </c>
      <c r="N73" s="473"/>
      <c r="O73" s="473"/>
      <c r="P73" s="474"/>
      <c r="Q73" s="381"/>
      <c r="R73" s="380"/>
      <c r="S73" s="381"/>
      <c r="T73" s="106"/>
      <c r="U73" s="107"/>
      <c r="W73" s="377">
        <v>0</v>
      </c>
    </row>
    <row r="74" spans="1:23" ht="13.5" customHeight="1">
      <c r="A74" s="477">
        <v>249</v>
      </c>
      <c r="B74" s="478" t="s">
        <v>254</v>
      </c>
      <c r="C74" s="378" t="s">
        <v>365</v>
      </c>
      <c r="D74" s="387">
        <f>VLOOKUP(A74,'Evento Cotiz'!$W$49:$Y$455,3,FALSE)</f>
        <v>8.5</v>
      </c>
      <c r="E74" s="422">
        <f>VLOOKUP(A74,'Evento Cotiz'!$A$49:$T$459,12,FALSE)</f>
        <v>10087.6368</v>
      </c>
      <c r="F74" s="427">
        <f>VLOOKUP(A74,'Evento Cotiz'!$A$49:$T$459,13,FALSE)</f>
        <v>3622.6320000000001</v>
      </c>
      <c r="G74" s="428">
        <f>Tabla1[[#This Row],[Cantidad]]*Tabla1[[#This Row],[P Piso]]</f>
        <v>30792.371999999999</v>
      </c>
      <c r="H74" s="433">
        <f>Tabla1[[#This Row],[P Piso]]-(Tabla1[[#This Row],[P Piso]]*20%)</f>
        <v>2898.1055999999999</v>
      </c>
      <c r="I74" s="434">
        <f>IF((1-(Tabla1[[#This Row],[P Piso-20%]]/Tabla1[[#This Row],[P Oferta]]))=1,0,1-(Tabla1[[#This Row],[P Piso-20%]]/Tabla1[[#This Row],[P Oferta]]))</f>
        <v>0.71270718232044206</v>
      </c>
      <c r="J74" s="439">
        <f>Tabla1[[#This Row],[P Piso]]-(Tabla1[[#This Row],[P Piso]]*25%)</f>
        <v>2716.9740000000002</v>
      </c>
      <c r="K74" s="440">
        <f>IF((1-(Tabla1[[#This Row],[P Piso-25%]]/Tabla1[[#This Row],[P Oferta]]))=1,0,1-(Tabla1[[#This Row],[P Piso-25%]]/Tabla1[[#This Row],[P Oferta]]))</f>
        <v>0.73066298342541436</v>
      </c>
      <c r="L74" s="379"/>
      <c r="M74" s="469">
        <v>70</v>
      </c>
      <c r="N74" s="473"/>
      <c r="O74" s="473"/>
      <c r="P74" s="474"/>
      <c r="Q74" s="381"/>
      <c r="R74" s="380"/>
      <c r="S74" s="381"/>
      <c r="T74" s="106"/>
      <c r="U74" s="107"/>
      <c r="W74" s="377">
        <v>0</v>
      </c>
    </row>
    <row r="75" spans="1:23" ht="24" customHeight="1">
      <c r="A75" s="477">
        <v>87</v>
      </c>
      <c r="B75" s="478" t="s">
        <v>106</v>
      </c>
      <c r="C75" s="378" t="s">
        <v>365</v>
      </c>
      <c r="D75" s="387">
        <f>VLOOKUP(A75,'Evento Cotiz'!$W$49:$Y$455,3,FALSE)</f>
        <v>20</v>
      </c>
      <c r="E75" s="422">
        <f>VLOOKUP(A75,'Evento Cotiz'!$A$49:$T$459,12,FALSE)</f>
        <v>7244.1711999999998</v>
      </c>
      <c r="F75" s="427">
        <f>VLOOKUP(A75,'Evento Cotiz'!$A$49:$T$459,13,FALSE)</f>
        <v>1112.4703999999999</v>
      </c>
      <c r="G75" s="428">
        <f>Tabla1[[#This Row],[Cantidad]]*Tabla1[[#This Row],[P Piso]]</f>
        <v>22249.407999999999</v>
      </c>
      <c r="H75" s="433">
        <f>Tabla1[[#This Row],[P Piso]]-(Tabla1[[#This Row],[P Piso]]*20%)</f>
        <v>889.97631999999999</v>
      </c>
      <c r="I75" s="434">
        <f>IF((1-(Tabla1[[#This Row],[P Piso-20%]]/Tabla1[[#This Row],[P Oferta]]))=1,0,1-(Tabla1[[#This Row],[P Piso-20%]]/Tabla1[[#This Row],[P Oferta]]))</f>
        <v>0.87714587418916878</v>
      </c>
      <c r="J75" s="439">
        <f>Tabla1[[#This Row],[P Piso]]-(Tabla1[[#This Row],[P Piso]]*25%)</f>
        <v>834.35279999999989</v>
      </c>
      <c r="K75" s="440">
        <f>IF((1-(Tabla1[[#This Row],[P Piso-25%]]/Tabla1[[#This Row],[P Oferta]]))=1,0,1-(Tabla1[[#This Row],[P Piso-25%]]/Tabla1[[#This Row],[P Oferta]]))</f>
        <v>0.8848242570523458</v>
      </c>
      <c r="L75" s="379"/>
      <c r="M75" s="469">
        <v>71</v>
      </c>
      <c r="N75" s="473"/>
      <c r="O75" s="473"/>
      <c r="P75" s="474"/>
      <c r="Q75" s="381"/>
      <c r="R75" s="380"/>
      <c r="S75" s="381"/>
      <c r="T75" s="106"/>
      <c r="U75" s="107"/>
      <c r="W75" s="377">
        <v>0</v>
      </c>
    </row>
    <row r="76" spans="1:23">
      <c r="A76" s="477">
        <v>108</v>
      </c>
      <c r="B76" s="478" t="s">
        <v>127</v>
      </c>
      <c r="C76" s="378" t="s">
        <v>365</v>
      </c>
      <c r="D76" s="387">
        <f>VLOOKUP(A76,'Evento Cotiz'!$W$49:$Y$455,3,FALSE)</f>
        <v>30</v>
      </c>
      <c r="E76" s="422">
        <f>VLOOKUP(A76,'Evento Cotiz'!$A$49:$T$459,12,FALSE)</f>
        <v>1755.0368000000001</v>
      </c>
      <c r="F76" s="427">
        <f>VLOOKUP(A76,'Evento Cotiz'!$A$49:$T$459,13,FALSE)</f>
        <v>723.43359999999996</v>
      </c>
      <c r="G76" s="428">
        <f>Tabla1[[#This Row],[Cantidad]]*Tabla1[[#This Row],[P Piso]]</f>
        <v>21703.007999999998</v>
      </c>
      <c r="H76" s="433">
        <f>Tabla1[[#This Row],[P Piso]]-(Tabla1[[#This Row],[P Piso]]*20%)</f>
        <v>578.74687999999992</v>
      </c>
      <c r="I76" s="434">
        <f>IF((1-(Tabla1[[#This Row],[P Piso-20%]]/Tabla1[[#This Row],[P Oferta]]))=1,0,1-(Tabla1[[#This Row],[P Piso-20%]]/Tabla1[[#This Row],[P Oferta]]))</f>
        <v>0.67023661270236623</v>
      </c>
      <c r="J76" s="439">
        <f>Tabla1[[#This Row],[P Piso]]-(Tabla1[[#This Row],[P Piso]]*25%)</f>
        <v>542.5752</v>
      </c>
      <c r="K76" s="440">
        <f>IF((1-(Tabla1[[#This Row],[P Piso-25%]]/Tabla1[[#This Row],[P Oferta]]))=1,0,1-(Tabla1[[#This Row],[P Piso-25%]]/Tabla1[[#This Row],[P Oferta]]))</f>
        <v>0.69084682440846823</v>
      </c>
      <c r="L76" s="379"/>
      <c r="M76" s="469">
        <v>72</v>
      </c>
      <c r="N76" s="473"/>
      <c r="O76" s="473"/>
      <c r="P76" s="474"/>
      <c r="Q76" s="381"/>
      <c r="R76" s="380"/>
      <c r="S76" s="381"/>
      <c r="T76" s="106"/>
      <c r="U76" s="107"/>
      <c r="W76" s="377">
        <v>2</v>
      </c>
    </row>
    <row r="77" spans="1:23" ht="13.5" customHeight="1">
      <c r="A77" s="477">
        <v>107</v>
      </c>
      <c r="B77" s="478" t="s">
        <v>126</v>
      </c>
      <c r="C77" s="378" t="s">
        <v>365</v>
      </c>
      <c r="D77" s="387">
        <f>VLOOKUP(A77,'Evento Cotiz'!$W$49:$Y$455,3,FALSE)</f>
        <v>30</v>
      </c>
      <c r="E77" s="422">
        <f>VLOOKUP(A77,'Evento Cotiz'!$A$49:$T$459,12,FALSE)</f>
        <v>1755.0368000000001</v>
      </c>
      <c r="F77" s="427">
        <f>VLOOKUP(A77,'Evento Cotiz'!$A$49:$T$459,13,FALSE)</f>
        <v>693.928</v>
      </c>
      <c r="G77" s="428">
        <f>Tabla1[[#This Row],[Cantidad]]*Tabla1[[#This Row],[P Piso]]</f>
        <v>20817.84</v>
      </c>
      <c r="H77" s="433">
        <f>Tabla1[[#This Row],[P Piso]]-(Tabla1[[#This Row],[P Piso]]*20%)</f>
        <v>555.14239999999995</v>
      </c>
      <c r="I77" s="434">
        <f>IF((1-(Tabla1[[#This Row],[P Piso-20%]]/Tabla1[[#This Row],[P Oferta]]))=1,0,1-(Tabla1[[#This Row],[P Piso-20%]]/Tabla1[[#This Row],[P Oferta]]))</f>
        <v>0.68368617683686184</v>
      </c>
      <c r="J77" s="439">
        <f>Tabla1[[#This Row],[P Piso]]-(Tabla1[[#This Row],[P Piso]]*25%)</f>
        <v>520.44600000000003</v>
      </c>
      <c r="K77" s="440">
        <f>IF((1-(Tabla1[[#This Row],[P Piso-25%]]/Tabla1[[#This Row],[P Oferta]]))=1,0,1-(Tabla1[[#This Row],[P Piso-25%]]/Tabla1[[#This Row],[P Oferta]]))</f>
        <v>0.70345579078455789</v>
      </c>
      <c r="L77" s="379"/>
      <c r="M77" s="469">
        <v>73</v>
      </c>
      <c r="N77" s="473"/>
      <c r="O77" s="473"/>
      <c r="P77" s="474"/>
      <c r="Q77" s="381"/>
      <c r="R77" s="380"/>
      <c r="S77" s="381"/>
      <c r="T77" s="106"/>
      <c r="U77" s="107"/>
      <c r="W77" s="377">
        <v>0</v>
      </c>
    </row>
    <row r="78" spans="1:23" ht="13.5" customHeight="1">
      <c r="A78" s="477">
        <v>169</v>
      </c>
      <c r="B78" s="478" t="s">
        <v>188</v>
      </c>
      <c r="C78" s="378" t="s">
        <v>365</v>
      </c>
      <c r="D78" s="387">
        <f>VLOOKUP(A78,'Evento Cotiz'!$W$49:$Y$455,3,FALSE)</f>
        <v>2.75</v>
      </c>
      <c r="E78" s="422">
        <f>VLOOKUP(A78,'Evento Cotiz'!$A$49:$T$459,12,FALSE)</f>
        <v>197169.53279999999</v>
      </c>
      <c r="F78" s="427">
        <f>VLOOKUP(A78,'Evento Cotiz'!$A$49:$T$459,13,FALSE)</f>
        <v>7314.1103999999996</v>
      </c>
      <c r="G78" s="428">
        <f>Tabla1[[#This Row],[Cantidad]]*Tabla1[[#This Row],[P Piso]]</f>
        <v>20113.803599999999</v>
      </c>
      <c r="H78" s="433">
        <f>Tabla1[[#This Row],[P Piso]]-(Tabla1[[#This Row],[P Piso]]*20%)</f>
        <v>5851.2883199999997</v>
      </c>
      <c r="I78" s="434">
        <f>IF((1-(Tabla1[[#This Row],[P Piso-20%]]/Tabla1[[#This Row],[P Oferta]]))=1,0,1-(Tabla1[[#This Row],[P Piso-20%]]/Tabla1[[#This Row],[P Oferta]]))</f>
        <v>0.97032356755678228</v>
      </c>
      <c r="J78" s="439">
        <f>Tabla1[[#This Row],[P Piso]]-(Tabla1[[#This Row],[P Piso]]*25%)</f>
        <v>5485.5828000000001</v>
      </c>
      <c r="K78" s="440">
        <f>IF((1-(Tabla1[[#This Row],[P Piso-25%]]/Tabla1[[#This Row],[P Oferta]]))=1,0,1-(Tabla1[[#This Row],[P Piso-25%]]/Tabla1[[#This Row],[P Oferta]]))</f>
        <v>0.97217834458448338</v>
      </c>
      <c r="L78" s="379"/>
      <c r="M78" s="469">
        <v>74</v>
      </c>
      <c r="N78" s="473"/>
      <c r="O78" s="473"/>
      <c r="P78" s="474"/>
      <c r="Q78" s="381"/>
      <c r="R78" s="380"/>
      <c r="S78" s="381"/>
      <c r="T78" s="106"/>
      <c r="U78" s="107"/>
      <c r="W78" s="377">
        <v>0</v>
      </c>
    </row>
    <row r="79" spans="1:23">
      <c r="A79" s="477">
        <v>160</v>
      </c>
      <c r="B79" s="478" t="s">
        <v>179</v>
      </c>
      <c r="C79" s="378" t="s">
        <v>365</v>
      </c>
      <c r="D79" s="387">
        <f>VLOOKUP(A79,'Evento Cotiz'!$W$49:$Y$455,3,FALSE)</f>
        <v>10</v>
      </c>
      <c r="E79" s="422">
        <f>VLOOKUP(A79,'Evento Cotiz'!$A$49:$T$459,12,FALSE)</f>
        <v>4647.6783999999998</v>
      </c>
      <c r="F79" s="427">
        <f>VLOOKUP(A79,'Evento Cotiz'!$A$49:$T$459,13,FALSE)</f>
        <v>1910.2144000000001</v>
      </c>
      <c r="G79" s="428">
        <f>Tabla1[[#This Row],[Cantidad]]*Tabla1[[#This Row],[P Piso]]</f>
        <v>19102.144</v>
      </c>
      <c r="H79" s="433">
        <f>Tabla1[[#This Row],[P Piso]]-(Tabla1[[#This Row],[P Piso]]*20%)</f>
        <v>1528.1715200000001</v>
      </c>
      <c r="I79" s="434">
        <f>IF((1-(Tabla1[[#This Row],[P Piso-20%]]/Tabla1[[#This Row],[P Oferta]]))=1,0,1-(Tabla1[[#This Row],[P Piso-20%]]/Tabla1[[#This Row],[P Oferta]]))</f>
        <v>0.67119680225723011</v>
      </c>
      <c r="J79" s="439">
        <f>Tabla1[[#This Row],[P Piso]]-(Tabla1[[#This Row],[P Piso]]*25%)</f>
        <v>1432.6608000000001</v>
      </c>
      <c r="K79" s="440">
        <f>IF((1-(Tabla1[[#This Row],[P Piso-25%]]/Tabla1[[#This Row],[P Oferta]]))=1,0,1-(Tabla1[[#This Row],[P Piso-25%]]/Tabla1[[#This Row],[P Oferta]]))</f>
        <v>0.69174700211615325</v>
      </c>
      <c r="L79" s="379"/>
      <c r="M79" s="469">
        <v>75</v>
      </c>
      <c r="N79" s="473"/>
      <c r="O79" s="473"/>
      <c r="P79" s="474"/>
      <c r="Q79" s="381"/>
      <c r="R79" s="380"/>
      <c r="S79" s="381"/>
      <c r="T79" s="106"/>
      <c r="U79" s="107"/>
      <c r="W79" s="377">
        <v>5</v>
      </c>
    </row>
    <row r="80" spans="1:23">
      <c r="A80" s="477">
        <v>106</v>
      </c>
      <c r="B80" s="478" t="s">
        <v>125</v>
      </c>
      <c r="C80" s="378" t="s">
        <v>365</v>
      </c>
      <c r="D80" s="387">
        <f>VLOOKUP(A80,'Evento Cotiz'!$W$49:$Y$455,3,FALSE)</f>
        <v>30</v>
      </c>
      <c r="E80" s="422">
        <f>VLOOKUP(A80,'Evento Cotiz'!$A$49:$T$459,12,FALSE)</f>
        <v>1520.0848000000001</v>
      </c>
      <c r="F80" s="427">
        <f>VLOOKUP(A80,'Evento Cotiz'!$A$49:$T$459,13,FALSE)</f>
        <v>596.66880000000003</v>
      </c>
      <c r="G80" s="428">
        <f>Tabla1[[#This Row],[Cantidad]]*Tabla1[[#This Row],[P Piso]]</f>
        <v>17900.064000000002</v>
      </c>
      <c r="H80" s="433">
        <f>Tabla1[[#This Row],[P Piso]]-(Tabla1[[#This Row],[P Piso]]*20%)</f>
        <v>477.33504000000005</v>
      </c>
      <c r="I80" s="434">
        <f>IF((1-(Tabla1[[#This Row],[P Piso-20%]]/Tabla1[[#This Row],[P Oferta]]))=1,0,1-(Tabla1[[#This Row],[P Piso-20%]]/Tabla1[[#This Row],[P Oferta]]))</f>
        <v>0.68598130841121496</v>
      </c>
      <c r="J80" s="439">
        <f>Tabla1[[#This Row],[P Piso]]-(Tabla1[[#This Row],[P Piso]]*25%)</f>
        <v>447.50160000000005</v>
      </c>
      <c r="K80" s="440">
        <f>IF((1-(Tabla1[[#This Row],[P Piso-25%]]/Tabla1[[#This Row],[P Oferta]]))=1,0,1-(Tabla1[[#This Row],[P Piso-25%]]/Tabla1[[#This Row],[P Oferta]]))</f>
        <v>0.70560747663551404</v>
      </c>
      <c r="L80" s="379"/>
      <c r="M80" s="469">
        <v>76</v>
      </c>
      <c r="N80" s="473"/>
      <c r="O80" s="473"/>
      <c r="P80" s="474"/>
      <c r="Q80" s="381"/>
      <c r="R80" s="380"/>
      <c r="S80" s="381"/>
      <c r="T80" s="106"/>
      <c r="U80" s="107"/>
      <c r="W80" s="377">
        <v>5</v>
      </c>
    </row>
    <row r="81" spans="1:23">
      <c r="A81" s="477">
        <v>77</v>
      </c>
      <c r="B81" s="478" t="s">
        <v>96</v>
      </c>
      <c r="C81" s="378" t="s">
        <v>365</v>
      </c>
      <c r="D81" s="387">
        <f>VLOOKUP(A81,'Evento Cotiz'!$W$49:$Y$455,3,FALSE)</f>
        <v>60</v>
      </c>
      <c r="E81" s="422">
        <f>VLOOKUP(A81,'Evento Cotiz'!$A$49:$T$459,12,FALSE)</f>
        <v>507.05919999999998</v>
      </c>
      <c r="F81" s="427">
        <f>VLOOKUP(A81,'Evento Cotiz'!$A$49:$T$459,13,FALSE)</f>
        <v>272.10719999999998</v>
      </c>
      <c r="G81" s="428">
        <f>Tabla1[[#This Row],[Cantidad]]*Tabla1[[#This Row],[P Piso]]</f>
        <v>16326.431999999999</v>
      </c>
      <c r="H81" s="433">
        <f>Tabla1[[#This Row],[P Piso]]-(Tabla1[[#This Row],[P Piso]]*20%)</f>
        <v>217.68575999999999</v>
      </c>
      <c r="I81" s="434">
        <f>IF((1-(Tabla1[[#This Row],[P Piso-20%]]/Tabla1[[#This Row],[P Oferta]]))=1,0,1-(Tabla1[[#This Row],[P Piso-20%]]/Tabla1[[#This Row],[P Oferta]]))</f>
        <v>0.57068965517241388</v>
      </c>
      <c r="J81" s="439">
        <f>Tabla1[[#This Row],[P Piso]]-(Tabla1[[#This Row],[P Piso]]*25%)</f>
        <v>204.0804</v>
      </c>
      <c r="K81" s="440">
        <f>IF((1-(Tabla1[[#This Row],[P Piso-25%]]/Tabla1[[#This Row],[P Oferta]]))=1,0,1-(Tabla1[[#This Row],[P Piso-25%]]/Tabla1[[#This Row],[P Oferta]]))</f>
        <v>0.5975215517241379</v>
      </c>
      <c r="L81" s="379"/>
      <c r="M81" s="469">
        <v>77</v>
      </c>
      <c r="N81" s="473"/>
      <c r="O81" s="473"/>
      <c r="P81" s="474"/>
      <c r="Q81" s="381"/>
      <c r="R81" s="380"/>
      <c r="S81" s="381"/>
      <c r="T81" s="106"/>
      <c r="U81" s="107"/>
      <c r="W81" s="377">
        <v>5</v>
      </c>
    </row>
    <row r="82" spans="1:23" ht="13.5" customHeight="1">
      <c r="A82" s="477">
        <v>90</v>
      </c>
      <c r="B82" s="478" t="s">
        <v>109</v>
      </c>
      <c r="C82" s="378" t="s">
        <v>365</v>
      </c>
      <c r="D82" s="387">
        <f>VLOOKUP(A82,'Evento Cotiz'!$W$49:$Y$455,3,FALSE)</f>
        <v>5.25</v>
      </c>
      <c r="E82" s="422">
        <f>VLOOKUP(A82,'Evento Cotiz'!$A$49:$T$459,12,FALSE)</f>
        <v>17467.315200000001</v>
      </c>
      <c r="F82" s="427">
        <f>VLOOKUP(A82,'Evento Cotiz'!$A$49:$T$459,13,FALSE)</f>
        <v>2980.0655999999999</v>
      </c>
      <c r="G82" s="428">
        <f>Tabla1[[#This Row],[Cantidad]]*Tabla1[[#This Row],[P Piso]]</f>
        <v>15645.3444</v>
      </c>
      <c r="H82" s="433">
        <f>Tabla1[[#This Row],[P Piso]]-(Tabla1[[#This Row],[P Piso]]*20%)</f>
        <v>2384.0524799999998</v>
      </c>
      <c r="I82" s="434">
        <f>IF((1-(Tabla1[[#This Row],[P Piso-20%]]/Tabla1[[#This Row],[P Oferta]]))=1,0,1-(Tabla1[[#This Row],[P Piso-20%]]/Tabla1[[#This Row],[P Oferta]]))</f>
        <v>0.86351351351351346</v>
      </c>
      <c r="J82" s="439">
        <f>Tabla1[[#This Row],[P Piso]]-(Tabla1[[#This Row],[P Piso]]*25%)</f>
        <v>2235.0491999999999</v>
      </c>
      <c r="K82" s="440">
        <f>IF((1-(Tabla1[[#This Row],[P Piso-25%]]/Tabla1[[#This Row],[P Oferta]]))=1,0,1-(Tabla1[[#This Row],[P Piso-25%]]/Tabla1[[#This Row],[P Oferta]]))</f>
        <v>0.87204391891891897</v>
      </c>
      <c r="L82" s="379"/>
      <c r="M82" s="469">
        <v>78</v>
      </c>
      <c r="N82" s="473"/>
      <c r="O82" s="473"/>
      <c r="P82" s="474"/>
      <c r="Q82" s="381"/>
      <c r="R82" s="380"/>
      <c r="S82" s="381"/>
      <c r="T82" s="106"/>
      <c r="U82" s="107"/>
      <c r="W82" s="377">
        <v>0</v>
      </c>
    </row>
    <row r="83" spans="1:23" ht="13.5" customHeight="1">
      <c r="A83" s="477">
        <v>98</v>
      </c>
      <c r="B83" s="478" t="s">
        <v>117</v>
      </c>
      <c r="C83" s="378" t="s">
        <v>365</v>
      </c>
      <c r="D83" s="387">
        <f>VLOOKUP(A83,'Evento Cotiz'!$W$49:$Y$455,3,FALSE)</f>
        <v>4</v>
      </c>
      <c r="E83" s="422">
        <f>VLOOKUP(A83,'Evento Cotiz'!$A$49:$T$459,12,FALSE)</f>
        <v>7688.9408000000003</v>
      </c>
      <c r="F83" s="427">
        <f>VLOOKUP(A83,'Evento Cotiz'!$A$49:$T$459,13,FALSE)</f>
        <v>3870.6976</v>
      </c>
      <c r="G83" s="428">
        <f>Tabla1[[#This Row],[Cantidad]]*Tabla1[[#This Row],[P Piso]]</f>
        <v>15482.7904</v>
      </c>
      <c r="H83" s="433">
        <f>Tabla1[[#This Row],[P Piso]]-(Tabla1[[#This Row],[P Piso]]*20%)</f>
        <v>3096.5580799999998</v>
      </c>
      <c r="I83" s="434">
        <f>IF((1-(Tabla1[[#This Row],[P Piso-20%]]/Tabla1[[#This Row],[P Oferta]]))=1,0,1-(Tabla1[[#This Row],[P Piso-20%]]/Tabla1[[#This Row],[P Oferta]]))</f>
        <v>0.59727117680500297</v>
      </c>
      <c r="J83" s="439">
        <f>Tabla1[[#This Row],[P Piso]]-(Tabla1[[#This Row],[P Piso]]*25%)</f>
        <v>2903.0232000000001</v>
      </c>
      <c r="K83" s="440">
        <f>IF((1-(Tabla1[[#This Row],[P Piso-25%]]/Tabla1[[#This Row],[P Oferta]]))=1,0,1-(Tabla1[[#This Row],[P Piso-25%]]/Tabla1[[#This Row],[P Oferta]]))</f>
        <v>0.62244172825469013</v>
      </c>
      <c r="L83" s="379"/>
      <c r="M83" s="469">
        <v>79</v>
      </c>
      <c r="N83" s="473"/>
      <c r="O83" s="473"/>
      <c r="P83" s="474"/>
      <c r="Q83" s="381"/>
      <c r="R83" s="380"/>
      <c r="S83" s="381"/>
      <c r="T83" s="106"/>
      <c r="U83" s="107"/>
      <c r="W83" s="377">
        <v>0</v>
      </c>
    </row>
    <row r="84" spans="1:23" ht="13.5" customHeight="1">
      <c r="A84" s="477">
        <v>109</v>
      </c>
      <c r="B84" s="478" t="s">
        <v>128</v>
      </c>
      <c r="C84" s="378" t="s">
        <v>365</v>
      </c>
      <c r="D84" s="387">
        <f>VLOOKUP(A84,'Evento Cotiz'!$W$49:$Y$455,3,FALSE)</f>
        <v>30</v>
      </c>
      <c r="E84" s="422">
        <f>VLOOKUP(A84,'Evento Cotiz'!$A$49:$T$459,12,FALSE)</f>
        <v>1792.192</v>
      </c>
      <c r="F84" s="427">
        <f>VLOOKUP(A84,'Evento Cotiz'!$A$49:$T$459,13,FALSE)</f>
        <v>510.33760000000001</v>
      </c>
      <c r="G84" s="428">
        <f>Tabla1[[#This Row],[Cantidad]]*Tabla1[[#This Row],[P Piso]]</f>
        <v>15310.128000000001</v>
      </c>
      <c r="H84" s="433">
        <f>Tabla1[[#This Row],[P Piso]]-(Tabla1[[#This Row],[P Piso]]*20%)</f>
        <v>408.27008000000001</v>
      </c>
      <c r="I84" s="434">
        <f>IF((1-(Tabla1[[#This Row],[P Piso-20%]]/Tabla1[[#This Row],[P Oferta]]))=1,0,1-(Tabla1[[#This Row],[P Piso-20%]]/Tabla1[[#This Row],[P Oferta]]))</f>
        <v>0.77219512195121953</v>
      </c>
      <c r="J84" s="439">
        <f>Tabla1[[#This Row],[P Piso]]-(Tabla1[[#This Row],[P Piso]]*25%)</f>
        <v>382.75319999999999</v>
      </c>
      <c r="K84" s="440">
        <f>IF((1-(Tabla1[[#This Row],[P Piso-25%]]/Tabla1[[#This Row],[P Oferta]]))=1,0,1-(Tabla1[[#This Row],[P Piso-25%]]/Tabla1[[#This Row],[P Oferta]]))</f>
        <v>0.78643292682926824</v>
      </c>
      <c r="L84" s="379"/>
      <c r="M84" s="469">
        <v>80</v>
      </c>
      <c r="N84" s="473"/>
      <c r="O84" s="473"/>
      <c r="P84" s="474"/>
      <c r="Q84" s="381"/>
      <c r="R84" s="380"/>
      <c r="S84" s="381"/>
      <c r="T84" s="106"/>
      <c r="U84" s="107"/>
      <c r="W84" s="377">
        <v>0</v>
      </c>
    </row>
    <row r="85" spans="1:23" ht="13.5" customHeight="1">
      <c r="A85" s="477">
        <v>371</v>
      </c>
      <c r="B85" s="478" t="s">
        <v>343</v>
      </c>
      <c r="C85" s="378" t="s">
        <v>365</v>
      </c>
      <c r="D85" s="387">
        <f>VLOOKUP(A85,'Evento Cotiz'!$W$49:$Y$455,3,FALSE)</f>
        <v>0.5</v>
      </c>
      <c r="E85" s="422">
        <f>VLOOKUP(A85,'Evento Cotiz'!$A$49:$T$459,12,FALSE)</f>
        <v>2894183.5408000001</v>
      </c>
      <c r="F85" s="427">
        <f>VLOOKUP(A85,'Evento Cotiz'!$A$49:$T$459,13,FALSE)</f>
        <v>23796.8128</v>
      </c>
      <c r="G85" s="428">
        <f>Tabla1[[#This Row],[Cantidad]]*Tabla1[[#This Row],[P Piso]]</f>
        <v>11898.4064</v>
      </c>
      <c r="H85" s="433">
        <f>Tabla1[[#This Row],[P Piso]]-(Tabla1[[#This Row],[P Piso]]*20%)</f>
        <v>19037.450239999998</v>
      </c>
      <c r="I85" s="434">
        <f>IF((1-(Tabla1[[#This Row],[P Piso-20%]]/Tabla1[[#This Row],[P Oferta]]))=1,0,1-(Tabla1[[#This Row],[P Piso-20%]]/Tabla1[[#This Row],[P Oferta]]))</f>
        <v>0.99342216899114222</v>
      </c>
      <c r="J85" s="439">
        <f>Tabla1[[#This Row],[P Piso]]-(Tabla1[[#This Row],[P Piso]]*25%)</f>
        <v>17847.6096</v>
      </c>
      <c r="K85" s="440">
        <f>IF((1-(Tabla1[[#This Row],[P Piso-25%]]/Tabla1[[#This Row],[P Oferta]]))=1,0,1-(Tabla1[[#This Row],[P Piso-25%]]/Tabla1[[#This Row],[P Oferta]]))</f>
        <v>0.99383328342919586</v>
      </c>
      <c r="L85" s="379"/>
      <c r="M85" s="469">
        <v>81</v>
      </c>
      <c r="N85" s="473"/>
      <c r="O85" s="473"/>
      <c r="P85" s="474"/>
      <c r="Q85" s="381"/>
      <c r="R85" s="380"/>
      <c r="S85" s="381"/>
      <c r="T85" s="106"/>
      <c r="U85" s="107"/>
      <c r="W85" s="377">
        <v>0</v>
      </c>
    </row>
    <row r="86" spans="1:23" ht="13.5" customHeight="1">
      <c r="A86" s="477">
        <v>201</v>
      </c>
      <c r="B86" s="478" t="s">
        <v>220</v>
      </c>
      <c r="C86" s="378" t="s">
        <v>365</v>
      </c>
      <c r="D86" s="387">
        <f>VLOOKUP(A86,'Evento Cotiz'!$W$49:$Y$455,3,FALSE)</f>
        <v>4</v>
      </c>
      <c r="E86" s="422">
        <f>VLOOKUP(A86,'Evento Cotiz'!$A$49:$T$459,12,FALSE)</f>
        <v>5241.0688</v>
      </c>
      <c r="F86" s="427">
        <f>VLOOKUP(A86,'Evento Cotiz'!$A$49:$T$459,13,FALSE)</f>
        <v>2853.3008</v>
      </c>
      <c r="G86" s="428">
        <f>Tabla1[[#This Row],[Cantidad]]*Tabla1[[#This Row],[P Piso]]</f>
        <v>11413.2032</v>
      </c>
      <c r="H86" s="433">
        <f>Tabla1[[#This Row],[P Piso]]-(Tabla1[[#This Row],[P Piso]]*20%)</f>
        <v>2282.6406400000001</v>
      </c>
      <c r="I86" s="434">
        <f>IF((1-(Tabla1[[#This Row],[P Piso-20%]]/Tabla1[[#This Row],[P Oferta]]))=1,0,1-(Tabla1[[#This Row],[P Piso-20%]]/Tabla1[[#This Row],[P Oferta]]))</f>
        <v>0.56447039199332782</v>
      </c>
      <c r="J86" s="439">
        <f>Tabla1[[#This Row],[P Piso]]-(Tabla1[[#This Row],[P Piso]]*25%)</f>
        <v>2139.9755999999998</v>
      </c>
      <c r="K86" s="440">
        <f>IF((1-(Tabla1[[#This Row],[P Piso-25%]]/Tabla1[[#This Row],[P Oferta]]))=1,0,1-(Tabla1[[#This Row],[P Piso-25%]]/Tabla1[[#This Row],[P Oferta]]))</f>
        <v>0.59169099249374479</v>
      </c>
      <c r="L86" s="379"/>
      <c r="M86" s="469">
        <v>82</v>
      </c>
      <c r="N86" s="473"/>
      <c r="O86" s="473"/>
      <c r="P86" s="474"/>
      <c r="Q86" s="381"/>
      <c r="R86" s="380"/>
      <c r="S86" s="381"/>
      <c r="T86" s="106"/>
      <c r="U86" s="107"/>
      <c r="W86" s="377">
        <v>0</v>
      </c>
    </row>
    <row r="87" spans="1:23" ht="13.5" customHeight="1">
      <c r="A87" s="477">
        <v>203</v>
      </c>
      <c r="B87" s="478" t="s">
        <v>222</v>
      </c>
      <c r="C87" s="378" t="s">
        <v>365</v>
      </c>
      <c r="D87" s="387">
        <f>VLOOKUP(A87,'Evento Cotiz'!$W$49:$Y$455,3,FALSE)</f>
        <v>1</v>
      </c>
      <c r="E87" s="422">
        <f>VLOOKUP(A87,'Evento Cotiz'!$A$49:$T$459,12,FALSE)</f>
        <v>21558.758399999999</v>
      </c>
      <c r="F87" s="427">
        <f>VLOOKUP(A87,'Evento Cotiz'!$A$49:$T$459,13,FALSE)</f>
        <v>8436.4159999999993</v>
      </c>
      <c r="G87" s="428">
        <f>Tabla1[[#This Row],[Cantidad]]*Tabla1[[#This Row],[P Piso]]</f>
        <v>8436.4159999999993</v>
      </c>
      <c r="H87" s="433">
        <f>Tabla1[[#This Row],[P Piso]]-(Tabla1[[#This Row],[P Piso]]*20%)</f>
        <v>6749.1327999999994</v>
      </c>
      <c r="I87" s="434">
        <f>IF((1-(Tabla1[[#This Row],[P Piso-20%]]/Tabla1[[#This Row],[P Oferta]]))=1,0,1-(Tabla1[[#This Row],[P Piso-20%]]/Tabla1[[#This Row],[P Oferta]]))</f>
        <v>0.68694241686942425</v>
      </c>
      <c r="J87" s="439">
        <f>Tabla1[[#This Row],[P Piso]]-(Tabla1[[#This Row],[P Piso]]*25%)</f>
        <v>6327.3119999999999</v>
      </c>
      <c r="K87" s="440">
        <f>IF((1-(Tabla1[[#This Row],[P Piso-25%]]/Tabla1[[#This Row],[P Oferta]]))=1,0,1-(Tabla1[[#This Row],[P Piso-25%]]/Tabla1[[#This Row],[P Oferta]]))</f>
        <v>0.70650851581508523</v>
      </c>
      <c r="L87" s="379"/>
      <c r="M87" s="469">
        <v>83</v>
      </c>
      <c r="N87" s="473"/>
      <c r="O87" s="473"/>
      <c r="P87" s="474"/>
      <c r="Q87" s="381"/>
      <c r="R87" s="380"/>
      <c r="S87" s="381"/>
      <c r="T87" s="106"/>
      <c r="U87" s="107"/>
      <c r="W87" s="377">
        <v>0</v>
      </c>
    </row>
    <row r="88" spans="1:23">
      <c r="A88" s="477">
        <v>164</v>
      </c>
      <c r="B88" s="478" t="s">
        <v>183</v>
      </c>
      <c r="C88" s="378" t="s">
        <v>365</v>
      </c>
      <c r="D88" s="387">
        <f>VLOOKUP(A88,'Evento Cotiz'!$W$49:$Y$455,3,FALSE)</f>
        <v>4</v>
      </c>
      <c r="E88" s="422">
        <f>VLOOKUP(A88,'Evento Cotiz'!$A$49:$T$459,12,FALSE)</f>
        <v>16131.9136</v>
      </c>
      <c r="F88" s="427">
        <f>VLOOKUP(A88,'Evento Cotiz'!$A$49:$T$459,13,FALSE)</f>
        <v>1534.2912000000001</v>
      </c>
      <c r="G88" s="428">
        <f>Tabla1[[#This Row],[Cantidad]]*Tabla1[[#This Row],[P Piso]]</f>
        <v>6137.1648000000005</v>
      </c>
      <c r="H88" s="433">
        <f>Tabla1[[#This Row],[P Piso]]-(Tabla1[[#This Row],[P Piso]]*20%)</f>
        <v>1227.4329600000001</v>
      </c>
      <c r="I88" s="434">
        <f>IF((1-(Tabla1[[#This Row],[P Piso-20%]]/Tabla1[[#This Row],[P Oferta]]))=1,0,1-(Tabla1[[#This Row],[P Piso-20%]]/Tabla1[[#This Row],[P Oferta]]))</f>
        <v>0.92391274895000675</v>
      </c>
      <c r="J88" s="439">
        <f>Tabla1[[#This Row],[P Piso]]-(Tabla1[[#This Row],[P Piso]]*25%)</f>
        <v>1150.7184000000002</v>
      </c>
      <c r="K88" s="440">
        <f>IF((1-(Tabla1[[#This Row],[P Piso-25%]]/Tabla1[[#This Row],[P Oferta]]))=1,0,1-(Tabla1[[#This Row],[P Piso-25%]]/Tabla1[[#This Row],[P Oferta]]))</f>
        <v>0.92866820214063139</v>
      </c>
      <c r="L88" s="379"/>
      <c r="M88" s="469">
        <v>84</v>
      </c>
      <c r="N88" s="473"/>
      <c r="O88" s="473"/>
      <c r="P88" s="474"/>
      <c r="Q88" s="381"/>
      <c r="R88" s="380"/>
      <c r="S88" s="381"/>
      <c r="T88" s="106"/>
      <c r="U88" s="107"/>
      <c r="W88" s="377">
        <v>2</v>
      </c>
    </row>
    <row r="89" spans="1:23" ht="13.5" customHeight="1">
      <c r="A89" s="477">
        <v>302</v>
      </c>
      <c r="B89" s="478" t="s">
        <v>279</v>
      </c>
      <c r="C89" s="378" t="s">
        <v>365</v>
      </c>
      <c r="D89" s="387">
        <f>VLOOKUP(A89,'Evento Cotiz'!$W$49:$Y$455,3,FALSE)</f>
        <v>1</v>
      </c>
      <c r="E89" s="422">
        <f>VLOOKUP(A89,'Evento Cotiz'!$A$49:$T$459,12,FALSE)</f>
        <v>228704.46239999999</v>
      </c>
      <c r="F89" s="427">
        <f>VLOOKUP(A89,'Evento Cotiz'!$A$49:$T$459,13,FALSE)</f>
        <v>5759.0559999999996</v>
      </c>
      <c r="G89" s="428">
        <f>Tabla1[[#This Row],[Cantidad]]*Tabla1[[#This Row],[P Piso]]</f>
        <v>5759.0559999999996</v>
      </c>
      <c r="H89" s="433">
        <f>Tabla1[[#This Row],[P Piso]]-(Tabla1[[#This Row],[P Piso]]*20%)</f>
        <v>4607.2447999999995</v>
      </c>
      <c r="I89" s="434">
        <f>IF((1-(Tabla1[[#This Row],[P Piso-20%]]/Tabla1[[#This Row],[P Oferta]]))=1,0,1-(Tabla1[[#This Row],[P Piso-20%]]/Tabla1[[#This Row],[P Oferta]]))</f>
        <v>0.97985502883655151</v>
      </c>
      <c r="J89" s="439">
        <f>Tabla1[[#This Row],[P Piso]]-(Tabla1[[#This Row],[P Piso]]*25%)</f>
        <v>4319.2919999999995</v>
      </c>
      <c r="K89" s="440">
        <f>IF((1-(Tabla1[[#This Row],[P Piso-25%]]/Tabla1[[#This Row],[P Oferta]]))=1,0,1-(Tabla1[[#This Row],[P Piso-25%]]/Tabla1[[#This Row],[P Oferta]]))</f>
        <v>0.98111408953426704</v>
      </c>
      <c r="L89" s="379"/>
      <c r="M89" s="469">
        <v>85</v>
      </c>
      <c r="N89" s="473"/>
      <c r="O89" s="473"/>
      <c r="P89" s="474"/>
      <c r="Q89" s="381"/>
      <c r="R89" s="380"/>
      <c r="S89" s="381"/>
      <c r="T89" s="106"/>
      <c r="U89" s="107"/>
      <c r="W89" s="377">
        <v>0</v>
      </c>
    </row>
    <row r="90" spans="1:23" ht="13.5" customHeight="1">
      <c r="A90" s="477">
        <v>204</v>
      </c>
      <c r="B90" s="478" t="s">
        <v>223</v>
      </c>
      <c r="C90" s="378" t="s">
        <v>365</v>
      </c>
      <c r="D90" s="387">
        <f>VLOOKUP(A90,'Evento Cotiz'!$W$49:$Y$455,3,FALSE)</f>
        <v>0.75</v>
      </c>
      <c r="E90" s="422">
        <f>VLOOKUP(A90,'Evento Cotiz'!$A$49:$T$459,12,FALSE)</f>
        <v>31200.532800000001</v>
      </c>
      <c r="F90" s="427">
        <f>VLOOKUP(A90,'Evento Cotiz'!$A$49:$T$459,13,FALSE)</f>
        <v>6508.7168000000001</v>
      </c>
      <c r="G90" s="428">
        <f>Tabla1[[#This Row],[Cantidad]]*Tabla1[[#This Row],[P Piso]]</f>
        <v>4881.5375999999997</v>
      </c>
      <c r="H90" s="433">
        <f>Tabla1[[#This Row],[P Piso]]-(Tabla1[[#This Row],[P Piso]]*20%)</f>
        <v>5206.9734399999998</v>
      </c>
      <c r="I90" s="434">
        <f>IF((1-(Tabla1[[#This Row],[P Piso-20%]]/Tabla1[[#This Row],[P Oferta]]))=1,0,1-(Tabla1[[#This Row],[P Piso-20%]]/Tabla1[[#This Row],[P Oferta]]))</f>
        <v>0.83311267556302759</v>
      </c>
      <c r="J90" s="439">
        <f>Tabla1[[#This Row],[P Piso]]-(Tabla1[[#This Row],[P Piso]]*25%)</f>
        <v>4881.5375999999997</v>
      </c>
      <c r="K90" s="440">
        <f>IF((1-(Tabla1[[#This Row],[P Piso-25%]]/Tabla1[[#This Row],[P Oferta]]))=1,0,1-(Tabla1[[#This Row],[P Piso-25%]]/Tabla1[[#This Row],[P Oferta]]))</f>
        <v>0.84354313334033837</v>
      </c>
      <c r="L90" s="379"/>
      <c r="M90" s="469">
        <v>86</v>
      </c>
      <c r="N90" s="473"/>
      <c r="O90" s="473"/>
      <c r="P90" s="474"/>
      <c r="Q90" s="381"/>
      <c r="R90" s="380"/>
      <c r="S90" s="381"/>
      <c r="T90" s="106"/>
      <c r="U90" s="107"/>
      <c r="W90" s="377">
        <v>0</v>
      </c>
    </row>
    <row r="91" spans="1:23" ht="13.5" customHeight="1">
      <c r="A91" s="477">
        <v>1</v>
      </c>
      <c r="B91" s="478" t="s">
        <v>21</v>
      </c>
      <c r="C91" s="378" t="s">
        <v>365</v>
      </c>
      <c r="D91" s="387">
        <f>VLOOKUP(A91,'Evento Cotiz'!$W$49:$Y$455,3,FALSE)</f>
        <v>0</v>
      </c>
      <c r="E91" s="422">
        <f>VLOOKUP(A91,'Evento Cotiz'!$A$49:$T$459,12,FALSE)</f>
        <v>19531.614399999999</v>
      </c>
      <c r="F91" s="427">
        <f>VLOOKUP(A91,'Evento Cotiz'!$A$49:$T$459,13,FALSE)</f>
        <v>10106.214400000001</v>
      </c>
      <c r="G91" s="428">
        <f>Tabla1[[#This Row],[Cantidad]]*Tabla1[[#This Row],[P Piso]]</f>
        <v>0</v>
      </c>
      <c r="H91" s="433">
        <f>Tabla1[[#This Row],[P Piso]]-(Tabla1[[#This Row],[P Piso]]*20%)</f>
        <v>8084.971520000001</v>
      </c>
      <c r="I91" s="434">
        <f>IF((1-(Tabla1[[#This Row],[P Piso-20%]]/Tabla1[[#This Row],[P Oferta]]))=1,0,1-(Tabla1[[#This Row],[P Piso-20%]]/Tabla1[[#This Row],[P Oferta]]))</f>
        <v>0.58605718122307382</v>
      </c>
      <c r="J91" s="439">
        <f>Tabla1[[#This Row],[P Piso]]-(Tabla1[[#This Row],[P Piso]]*25%)</f>
        <v>7579.6608000000006</v>
      </c>
      <c r="K91" s="440">
        <f>IF((1-(Tabla1[[#This Row],[P Piso-25%]]/Tabla1[[#This Row],[P Oferta]]))=1,0,1-(Tabla1[[#This Row],[P Piso-25%]]/Tabla1[[#This Row],[P Oferta]]))</f>
        <v>0.61192860739663169</v>
      </c>
      <c r="L91" s="379"/>
      <c r="M91" s="469">
        <v>87</v>
      </c>
      <c r="N91" s="473"/>
      <c r="O91" s="473"/>
      <c r="P91" s="474"/>
      <c r="Q91" s="381"/>
      <c r="R91" s="380"/>
      <c r="S91" s="381"/>
      <c r="T91" s="106"/>
      <c r="U91" s="107"/>
      <c r="W91" s="377">
        <v>0</v>
      </c>
    </row>
    <row r="92" spans="1:23" ht="13.5" customHeight="1">
      <c r="A92" s="477">
        <v>2</v>
      </c>
      <c r="B92" s="478" t="s">
        <v>22</v>
      </c>
      <c r="C92" s="378" t="s">
        <v>365</v>
      </c>
      <c r="D92" s="387">
        <f>VLOOKUP(A92,'Evento Cotiz'!$W$49:$Y$455,3,FALSE)</f>
        <v>0</v>
      </c>
      <c r="E92" s="422">
        <f>VLOOKUP(A92,'Evento Cotiz'!$A$49:$T$459,12,FALSE)</f>
        <v>5736.1072000000004</v>
      </c>
      <c r="F92" s="427">
        <f>VLOOKUP(A92,'Evento Cotiz'!$A$49:$T$459,13,FALSE)</f>
        <v>2795.3824</v>
      </c>
      <c r="G92" s="428">
        <f>Tabla1[[#This Row],[Cantidad]]*Tabla1[[#This Row],[P Piso]]</f>
        <v>0</v>
      </c>
      <c r="H92" s="433">
        <f>Tabla1[[#This Row],[P Piso]]-(Tabla1[[#This Row],[P Piso]]*20%)</f>
        <v>2236.3059199999998</v>
      </c>
      <c r="I92" s="434">
        <f>IF((1-(Tabla1[[#This Row],[P Piso-20%]]/Tabla1[[#This Row],[P Oferta]]))=1,0,1-(Tabla1[[#This Row],[P Piso-20%]]/Tabla1[[#This Row],[P Oferta]]))</f>
        <v>0.61013526385978289</v>
      </c>
      <c r="J92" s="439">
        <f>Tabla1[[#This Row],[P Piso]]-(Tabla1[[#This Row],[P Piso]]*25%)</f>
        <v>2096.5367999999999</v>
      </c>
      <c r="K92" s="440">
        <f>IF((1-(Tabla1[[#This Row],[P Piso-25%]]/Tabla1[[#This Row],[P Oferta]]))=1,0,1-(Tabla1[[#This Row],[P Piso-25%]]/Tabla1[[#This Row],[P Oferta]]))</f>
        <v>0.63450180986854643</v>
      </c>
      <c r="L92" s="379"/>
      <c r="M92" s="469">
        <v>88</v>
      </c>
      <c r="N92" s="473"/>
      <c r="O92" s="473"/>
      <c r="P92" s="474"/>
      <c r="Q92" s="381"/>
      <c r="R92" s="380"/>
      <c r="S92" s="381"/>
      <c r="T92" s="106"/>
      <c r="U92" s="107"/>
      <c r="W92" s="377">
        <v>0</v>
      </c>
    </row>
    <row r="93" spans="1:23" ht="13.5" customHeight="1">
      <c r="A93" s="477">
        <v>4</v>
      </c>
      <c r="B93" s="478" t="s">
        <v>24</v>
      </c>
      <c r="C93" s="378" t="s">
        <v>365</v>
      </c>
      <c r="D93" s="387">
        <f>VLOOKUP(A93,'Evento Cotiz'!$W$49:$Y$455,3,FALSE)</f>
        <v>0</v>
      </c>
      <c r="E93" s="422">
        <f>VLOOKUP(A93,'Evento Cotiz'!$A$49:$T$459,12,FALSE)</f>
        <v>14167.0592</v>
      </c>
      <c r="F93" s="427">
        <f>VLOOKUP(A93,'Evento Cotiz'!$A$49:$T$459,13,FALSE)</f>
        <v>5562.3519999999999</v>
      </c>
      <c r="G93" s="428">
        <f>Tabla1[[#This Row],[Cantidad]]*Tabla1[[#This Row],[P Piso]]</f>
        <v>0</v>
      </c>
      <c r="H93" s="433">
        <f>Tabla1[[#This Row],[P Piso]]-(Tabla1[[#This Row],[P Piso]]*20%)</f>
        <v>4449.8815999999997</v>
      </c>
      <c r="I93" s="434">
        <f>IF((1-(Tabla1[[#This Row],[P Piso-20%]]/Tabla1[[#This Row],[P Oferta]]))=1,0,1-(Tabla1[[#This Row],[P Piso-20%]]/Tabla1[[#This Row],[P Oferta]]))</f>
        <v>0.68589941376118491</v>
      </c>
      <c r="J93" s="439">
        <f>Tabla1[[#This Row],[P Piso]]-(Tabla1[[#This Row],[P Piso]]*25%)</f>
        <v>4171.7640000000001</v>
      </c>
      <c r="K93" s="440">
        <f>IF((1-(Tabla1[[#This Row],[P Piso-25%]]/Tabla1[[#This Row],[P Oferta]]))=1,0,1-(Tabla1[[#This Row],[P Piso-25%]]/Tabla1[[#This Row],[P Oferta]]))</f>
        <v>0.70553070040111077</v>
      </c>
      <c r="L93" s="379"/>
      <c r="M93" s="469">
        <v>89</v>
      </c>
      <c r="N93" s="473"/>
      <c r="O93" s="473"/>
      <c r="P93" s="474"/>
      <c r="Q93" s="381"/>
      <c r="R93" s="380"/>
      <c r="S93" s="381"/>
      <c r="T93" s="106"/>
      <c r="U93" s="107"/>
      <c r="W93" s="377">
        <v>0</v>
      </c>
    </row>
    <row r="94" spans="1:23" ht="13.5" customHeight="1">
      <c r="A94" s="477">
        <v>5</v>
      </c>
      <c r="B94" s="478" t="s">
        <v>25</v>
      </c>
      <c r="C94" s="378" t="s">
        <v>365</v>
      </c>
      <c r="D94" s="387">
        <f>VLOOKUP(A94,'Evento Cotiz'!$W$49:$Y$455,3,FALSE)</f>
        <v>0</v>
      </c>
      <c r="E94" s="422">
        <f>VLOOKUP(A94,'Evento Cotiz'!$A$49:$T$459,12,FALSE)</f>
        <v>4079.4223999999999</v>
      </c>
      <c r="F94" s="427">
        <f>VLOOKUP(A94,'Evento Cotiz'!$A$49:$T$459,13,FALSE)</f>
        <v>2017.3088</v>
      </c>
      <c r="G94" s="428">
        <f>Tabla1[[#This Row],[Cantidad]]*Tabla1[[#This Row],[P Piso]]</f>
        <v>0</v>
      </c>
      <c r="H94" s="433">
        <f>Tabla1[[#This Row],[P Piso]]-(Tabla1[[#This Row],[P Piso]]*20%)</f>
        <v>1613.8470400000001</v>
      </c>
      <c r="I94" s="434">
        <f>IF((1-(Tabla1[[#This Row],[P Piso-20%]]/Tabla1[[#This Row],[P Oferta]]))=1,0,1-(Tabla1[[#This Row],[P Piso-20%]]/Tabla1[[#This Row],[P Oferta]]))</f>
        <v>0.60439324939726757</v>
      </c>
      <c r="J94" s="439">
        <f>Tabla1[[#This Row],[P Piso]]-(Tabla1[[#This Row],[P Piso]]*25%)</f>
        <v>1512.9816000000001</v>
      </c>
      <c r="K94" s="440">
        <f>IF((1-(Tabla1[[#This Row],[P Piso-25%]]/Tabla1[[#This Row],[P Oferta]]))=1,0,1-(Tabla1[[#This Row],[P Piso-25%]]/Tabla1[[#This Row],[P Oferta]]))</f>
        <v>0.62911867130993837</v>
      </c>
      <c r="L94" s="379"/>
      <c r="M94" s="469">
        <v>90</v>
      </c>
      <c r="N94" s="473"/>
      <c r="O94" s="473"/>
      <c r="P94" s="474"/>
      <c r="Q94" s="381"/>
      <c r="R94" s="380"/>
      <c r="S94" s="381"/>
      <c r="T94" s="106"/>
      <c r="U94" s="107"/>
      <c r="W94" s="377">
        <v>0</v>
      </c>
    </row>
    <row r="95" spans="1:23" ht="13.5" customHeight="1">
      <c r="A95" s="477">
        <v>6</v>
      </c>
      <c r="B95" s="478" t="s">
        <v>26</v>
      </c>
      <c r="C95" s="378" t="s">
        <v>365</v>
      </c>
      <c r="D95" s="387">
        <f>VLOOKUP(A95,'Evento Cotiz'!$W$49:$Y$455,3,FALSE)</f>
        <v>0</v>
      </c>
      <c r="E95" s="422">
        <f>VLOOKUP(A95,'Evento Cotiz'!$A$49:$T$459,12,FALSE)</f>
        <v>4994.0959999999995</v>
      </c>
      <c r="F95" s="427">
        <f>VLOOKUP(A95,'Evento Cotiz'!$A$49:$T$459,13,FALSE)</f>
        <v>1977.9680000000001</v>
      </c>
      <c r="G95" s="428">
        <f>Tabla1[[#This Row],[Cantidad]]*Tabla1[[#This Row],[P Piso]]</f>
        <v>0</v>
      </c>
      <c r="H95" s="433">
        <f>Tabla1[[#This Row],[P Piso]]-(Tabla1[[#This Row],[P Piso]]*20%)</f>
        <v>1582.3744000000002</v>
      </c>
      <c r="I95" s="434">
        <f>IF((1-(Tabla1[[#This Row],[P Piso-20%]]/Tabla1[[#This Row],[P Oferta]]))=1,0,1-(Tabla1[[#This Row],[P Piso-20%]]/Tabla1[[#This Row],[P Oferta]]))</f>
        <v>0.68315098468271329</v>
      </c>
      <c r="J95" s="439">
        <f>Tabla1[[#This Row],[P Piso]]-(Tabla1[[#This Row],[P Piso]]*25%)</f>
        <v>1483.4760000000001</v>
      </c>
      <c r="K95" s="440">
        <f>IF((1-(Tabla1[[#This Row],[P Piso-25%]]/Tabla1[[#This Row],[P Oferta]]))=1,0,1-(Tabla1[[#This Row],[P Piso-25%]]/Tabla1[[#This Row],[P Oferta]]))</f>
        <v>0.7029540481400437</v>
      </c>
      <c r="L95" s="379"/>
      <c r="M95" s="469">
        <v>91</v>
      </c>
      <c r="N95" s="473"/>
      <c r="O95" s="473"/>
      <c r="P95" s="474"/>
      <c r="Q95" s="381"/>
      <c r="R95" s="380"/>
      <c r="S95" s="381"/>
      <c r="T95" s="106"/>
      <c r="U95" s="107"/>
      <c r="W95" s="377">
        <v>0</v>
      </c>
    </row>
    <row r="96" spans="1:23">
      <c r="A96" s="477">
        <v>7</v>
      </c>
      <c r="B96" s="478" t="s">
        <v>27</v>
      </c>
      <c r="C96" s="378" t="s">
        <v>365</v>
      </c>
      <c r="D96" s="387">
        <f>VLOOKUP(A96,'Evento Cotiz'!$W$49:$Y$455,3,FALSE)</f>
        <v>0</v>
      </c>
      <c r="E96" s="422">
        <f>VLOOKUP(A96,'Evento Cotiz'!$A$49:$T$459,12,FALSE)</f>
        <v>5538.3104000000003</v>
      </c>
      <c r="F96" s="427">
        <f>VLOOKUP(A96,'Evento Cotiz'!$A$49:$T$459,13,FALSE)</f>
        <v>3331.9472000000001</v>
      </c>
      <c r="G96" s="428">
        <f>Tabla1[[#This Row],[Cantidad]]*Tabla1[[#This Row],[P Piso]]</f>
        <v>0</v>
      </c>
      <c r="H96" s="433">
        <f>Tabla1[[#This Row],[P Piso]]-(Tabla1[[#This Row],[P Piso]]*20%)</f>
        <v>2665.5577600000001</v>
      </c>
      <c r="I96" s="434">
        <f>IF((1-(Tabla1[[#This Row],[P Piso-20%]]/Tabla1[[#This Row],[P Oferta]]))=1,0,1-(Tabla1[[#This Row],[P Piso-20%]]/Tabla1[[#This Row],[P Oferta]]))</f>
        <v>0.51870560378847674</v>
      </c>
      <c r="J96" s="439">
        <f>Tabla1[[#This Row],[P Piso]]-(Tabla1[[#This Row],[P Piso]]*25%)</f>
        <v>2498.9603999999999</v>
      </c>
      <c r="K96" s="440">
        <f>IF((1-(Tabla1[[#This Row],[P Piso-25%]]/Tabla1[[#This Row],[P Oferta]]))=1,0,1-(Tabla1[[#This Row],[P Piso-25%]]/Tabla1[[#This Row],[P Oferta]]))</f>
        <v>0.548786503551697</v>
      </c>
      <c r="L96" s="379"/>
      <c r="M96" s="469">
        <v>92</v>
      </c>
      <c r="N96" s="473"/>
      <c r="O96" s="473"/>
      <c r="P96" s="474"/>
      <c r="Q96" s="381"/>
      <c r="R96" s="380"/>
      <c r="S96" s="381"/>
      <c r="T96" s="106"/>
      <c r="U96" s="107"/>
      <c r="W96" s="377">
        <v>2</v>
      </c>
    </row>
    <row r="97" spans="1:23">
      <c r="A97" s="477">
        <v>8</v>
      </c>
      <c r="B97" s="478" t="s">
        <v>28</v>
      </c>
      <c r="C97" s="378" t="s">
        <v>365</v>
      </c>
      <c r="D97" s="387">
        <f>VLOOKUP(A97,'Evento Cotiz'!$W$49:$Y$455,3,FALSE)</f>
        <v>0</v>
      </c>
      <c r="E97" s="422">
        <f>VLOOKUP(A97,'Evento Cotiz'!$A$49:$T$459,12,FALSE)</f>
        <v>5254.1823999999997</v>
      </c>
      <c r="F97" s="427">
        <f>VLOOKUP(A97,'Evento Cotiz'!$A$49:$T$459,13,FALSE)</f>
        <v>2085.0623999999998</v>
      </c>
      <c r="G97" s="428">
        <f>Tabla1[[#This Row],[Cantidad]]*Tabla1[[#This Row],[P Piso]]</f>
        <v>0</v>
      </c>
      <c r="H97" s="433">
        <f>Tabla1[[#This Row],[P Piso]]-(Tabla1[[#This Row],[P Piso]]*20%)</f>
        <v>1668.0499199999999</v>
      </c>
      <c r="I97" s="434">
        <f>IF((1-(Tabla1[[#This Row],[P Piso-20%]]/Tabla1[[#This Row],[P Oferta]]))=1,0,1-(Tabla1[[#This Row],[P Piso-20%]]/Tabla1[[#This Row],[P Oferta]]))</f>
        <v>0.68252911813643924</v>
      </c>
      <c r="J97" s="439">
        <f>Tabla1[[#This Row],[P Piso]]-(Tabla1[[#This Row],[P Piso]]*25%)</f>
        <v>1563.7967999999998</v>
      </c>
      <c r="K97" s="440">
        <f>IF((1-(Tabla1[[#This Row],[P Piso-25%]]/Tabla1[[#This Row],[P Oferta]]))=1,0,1-(Tabla1[[#This Row],[P Piso-25%]]/Tabla1[[#This Row],[P Oferta]]))</f>
        <v>0.70237104825291174</v>
      </c>
      <c r="L97" s="379"/>
      <c r="M97" s="469">
        <v>93</v>
      </c>
      <c r="N97" s="473"/>
      <c r="O97" s="473"/>
      <c r="P97" s="474"/>
      <c r="Q97" s="381"/>
      <c r="R97" s="380"/>
      <c r="S97" s="381"/>
      <c r="T97" s="106"/>
      <c r="U97" s="107"/>
      <c r="W97" s="377">
        <v>2</v>
      </c>
    </row>
    <row r="98" spans="1:23" ht="13.5" customHeight="1">
      <c r="A98" s="477">
        <v>9</v>
      </c>
      <c r="B98" s="478" t="s">
        <v>29</v>
      </c>
      <c r="C98" s="378" t="s">
        <v>365</v>
      </c>
      <c r="D98" s="387">
        <f>VLOOKUP(A98,'Evento Cotiz'!$W$49:$Y$455,3,FALSE)</f>
        <v>0</v>
      </c>
      <c r="E98" s="422">
        <f>VLOOKUP(A98,'Evento Cotiz'!$A$49:$T$459,12,FALSE)</f>
        <v>121466.9056</v>
      </c>
      <c r="F98" s="427">
        <f>VLOOKUP(A98,'Evento Cotiz'!$A$49:$T$459,13,FALSE)</f>
        <v>34613.347199999997</v>
      </c>
      <c r="G98" s="428">
        <f>Tabla1[[#This Row],[Cantidad]]*Tabla1[[#This Row],[P Piso]]</f>
        <v>0</v>
      </c>
      <c r="H98" s="433">
        <f>Tabla1[[#This Row],[P Piso]]-(Tabla1[[#This Row],[P Piso]]*20%)</f>
        <v>27690.677759999999</v>
      </c>
      <c r="I98" s="434">
        <f>IF((1-(Tabla1[[#This Row],[P Piso-20%]]/Tabla1[[#This Row],[P Oferta]]))=1,0,1-(Tabla1[[#This Row],[P Piso-20%]]/Tabla1[[#This Row],[P Oferta]]))</f>
        <v>0.77203109255793867</v>
      </c>
      <c r="J98" s="439">
        <f>Tabla1[[#This Row],[P Piso]]-(Tabla1[[#This Row],[P Piso]]*25%)</f>
        <v>25960.010399999999</v>
      </c>
      <c r="K98" s="440">
        <f>IF((1-(Tabla1[[#This Row],[P Piso-25%]]/Tabla1[[#This Row],[P Oferta]]))=1,0,1-(Tabla1[[#This Row],[P Piso-25%]]/Tabla1[[#This Row],[P Oferta]]))</f>
        <v>0.78627914927306752</v>
      </c>
      <c r="L98" s="379"/>
      <c r="M98" s="469">
        <v>94</v>
      </c>
      <c r="N98" s="473"/>
      <c r="O98" s="473"/>
      <c r="P98" s="474"/>
      <c r="Q98" s="381"/>
      <c r="R98" s="380"/>
      <c r="S98" s="381"/>
      <c r="T98" s="106"/>
      <c r="U98" s="107"/>
      <c r="W98" s="377">
        <v>0</v>
      </c>
    </row>
    <row r="99" spans="1:23" ht="13.5" customHeight="1">
      <c r="A99" s="477">
        <v>10</v>
      </c>
      <c r="B99" s="478" t="s">
        <v>30</v>
      </c>
      <c r="C99" s="378" t="s">
        <v>365</v>
      </c>
      <c r="D99" s="387">
        <f>VLOOKUP(A99,'Evento Cotiz'!$W$49:$Y$455,3,FALSE)</f>
        <v>0</v>
      </c>
      <c r="E99" s="422">
        <f>VLOOKUP(A99,'Evento Cotiz'!$A$49:$T$459,12,FALSE)</f>
        <v>6008.2143999999998</v>
      </c>
      <c r="F99" s="427">
        <f>VLOOKUP(A99,'Evento Cotiz'!$A$49:$T$459,13,FALSE)</f>
        <v>2164.8368</v>
      </c>
      <c r="G99" s="428">
        <f>Tabla1[[#This Row],[Cantidad]]*Tabla1[[#This Row],[P Piso]]</f>
        <v>0</v>
      </c>
      <c r="H99" s="433">
        <f>Tabla1[[#This Row],[P Piso]]-(Tabla1[[#This Row],[P Piso]]*20%)</f>
        <v>1731.8694399999999</v>
      </c>
      <c r="I99" s="434">
        <f>IF((1-(Tabla1[[#This Row],[P Piso-20%]]/Tabla1[[#This Row],[P Oferta]]))=1,0,1-(Tabla1[[#This Row],[P Piso-20%]]/Tabla1[[#This Row],[P Oferta]]))</f>
        <v>0.71174972717351759</v>
      </c>
      <c r="J99" s="439">
        <f>Tabla1[[#This Row],[P Piso]]-(Tabla1[[#This Row],[P Piso]]*25%)</f>
        <v>1623.6276</v>
      </c>
      <c r="K99" s="440">
        <f>IF((1-(Tabla1[[#This Row],[P Piso-25%]]/Tabla1[[#This Row],[P Oferta]]))=1,0,1-(Tabla1[[#This Row],[P Piso-25%]]/Tabla1[[#This Row],[P Oferta]]))</f>
        <v>0.72976536922517277</v>
      </c>
      <c r="L99" s="379"/>
      <c r="M99" s="469">
        <v>95</v>
      </c>
      <c r="N99" s="473"/>
      <c r="O99" s="473"/>
      <c r="P99" s="474"/>
      <c r="Q99" s="381"/>
      <c r="R99" s="380"/>
      <c r="S99" s="381"/>
      <c r="T99" s="106"/>
      <c r="U99" s="107"/>
      <c r="W99" s="377">
        <v>0</v>
      </c>
    </row>
    <row r="100" spans="1:23" ht="13.5" customHeight="1">
      <c r="A100" s="477">
        <v>11</v>
      </c>
      <c r="B100" s="478" t="s">
        <v>31</v>
      </c>
      <c r="C100" s="378" t="s">
        <v>365</v>
      </c>
      <c r="D100" s="387">
        <f>VLOOKUP(A100,'Evento Cotiz'!$W$49:$Y$455,3,FALSE)</f>
        <v>0</v>
      </c>
      <c r="E100" s="422">
        <f>VLOOKUP(A100,'Evento Cotiz'!$A$49:$T$459,12,FALSE)</f>
        <v>14364.856</v>
      </c>
      <c r="F100" s="427">
        <f>VLOOKUP(A100,'Evento Cotiz'!$A$49:$T$459,13,FALSE)</f>
        <v>1607.5088000000001</v>
      </c>
      <c r="G100" s="428">
        <f>Tabla1[[#This Row],[Cantidad]]*Tabla1[[#This Row],[P Piso]]</f>
        <v>0</v>
      </c>
      <c r="H100" s="433">
        <f>Tabla1[[#This Row],[P Piso]]-(Tabla1[[#This Row],[P Piso]]*20%)</f>
        <v>1286.00704</v>
      </c>
      <c r="I100" s="434">
        <f>IF((1-(Tabla1[[#This Row],[P Piso-20%]]/Tabla1[[#This Row],[P Oferta]]))=1,0,1-(Tabla1[[#This Row],[P Piso-20%]]/Tabla1[[#This Row],[P Oferta]]))</f>
        <v>0.91047546595663753</v>
      </c>
      <c r="J100" s="439">
        <f>Tabla1[[#This Row],[P Piso]]-(Tabla1[[#This Row],[P Piso]]*25%)</f>
        <v>1205.6316000000002</v>
      </c>
      <c r="K100" s="440">
        <f>IF((1-(Tabla1[[#This Row],[P Piso-25%]]/Tabla1[[#This Row],[P Oferta]]))=1,0,1-(Tabla1[[#This Row],[P Piso-25%]]/Tabla1[[#This Row],[P Oferta]]))</f>
        <v>0.91607074933434762</v>
      </c>
      <c r="L100" s="379"/>
      <c r="M100" s="469">
        <v>96</v>
      </c>
      <c r="N100" s="473"/>
      <c r="O100" s="473"/>
      <c r="P100" s="474"/>
      <c r="Q100" s="381"/>
      <c r="R100" s="380"/>
      <c r="S100" s="381"/>
      <c r="T100" s="106"/>
      <c r="U100" s="107"/>
      <c r="W100" s="377">
        <v>0</v>
      </c>
    </row>
    <row r="101" spans="1:23" ht="13.5" customHeight="1">
      <c r="A101" s="477">
        <v>13</v>
      </c>
      <c r="B101" s="478" t="s">
        <v>33</v>
      </c>
      <c r="C101" s="378" t="s">
        <v>365</v>
      </c>
      <c r="D101" s="387">
        <f>VLOOKUP(A101,'Evento Cotiz'!$W$49:$Y$455,3,FALSE)</f>
        <v>0</v>
      </c>
      <c r="E101" s="422">
        <f>VLOOKUP(A101,'Evento Cotiz'!$A$49:$T$459,12,FALSE)</f>
        <v>44341.452799999999</v>
      </c>
      <c r="F101" s="427">
        <f>VLOOKUP(A101,'Evento Cotiz'!$A$49:$T$459,13,FALSE)</f>
        <v>14441.351999999999</v>
      </c>
      <c r="G101" s="428">
        <f>Tabla1[[#This Row],[Cantidad]]*Tabla1[[#This Row],[P Piso]]</f>
        <v>0</v>
      </c>
      <c r="H101" s="433">
        <f>Tabla1[[#This Row],[P Piso]]-(Tabla1[[#This Row],[P Piso]]*20%)</f>
        <v>11553.0816</v>
      </c>
      <c r="I101" s="434">
        <f>IF((1-(Tabla1[[#This Row],[P Piso-20%]]/Tabla1[[#This Row],[P Oferta]]))=1,0,1-(Tabla1[[#This Row],[P Piso-20%]]/Tabla1[[#This Row],[P Oferta]]))</f>
        <v>0.73945189274447953</v>
      </c>
      <c r="J101" s="439">
        <f>Tabla1[[#This Row],[P Piso]]-(Tabla1[[#This Row],[P Piso]]*25%)</f>
        <v>10831.013999999999</v>
      </c>
      <c r="K101" s="440">
        <f>IF((1-(Tabla1[[#This Row],[P Piso-25%]]/Tabla1[[#This Row],[P Oferta]]))=1,0,1-(Tabla1[[#This Row],[P Piso-25%]]/Tabla1[[#This Row],[P Oferta]]))</f>
        <v>0.75573614944794953</v>
      </c>
      <c r="L101" s="379"/>
      <c r="M101" s="469">
        <v>97</v>
      </c>
      <c r="N101" s="473"/>
      <c r="O101" s="473"/>
      <c r="P101" s="474"/>
      <c r="Q101" s="381"/>
      <c r="R101" s="380"/>
      <c r="S101" s="381"/>
      <c r="T101" s="106"/>
      <c r="U101" s="107"/>
      <c r="W101" s="377">
        <v>0</v>
      </c>
    </row>
    <row r="102" spans="1:23" ht="13.5" customHeight="1">
      <c r="A102" s="477">
        <v>14</v>
      </c>
      <c r="B102" s="478" t="s">
        <v>34</v>
      </c>
      <c r="C102" s="378" t="s">
        <v>365</v>
      </c>
      <c r="D102" s="387">
        <f>VLOOKUP(A102,'Evento Cotiz'!$W$49:$Y$455,3,FALSE)</f>
        <v>0</v>
      </c>
      <c r="E102" s="422">
        <f>VLOOKUP(A102,'Evento Cotiz'!$A$49:$T$459,12,FALSE)</f>
        <v>39421.667199999996</v>
      </c>
      <c r="F102" s="427">
        <f>VLOOKUP(A102,'Evento Cotiz'!$A$49:$T$459,13,FALSE)</f>
        <v>5237.7903999999999</v>
      </c>
      <c r="G102" s="428">
        <f>Tabla1[[#This Row],[Cantidad]]*Tabla1[[#This Row],[P Piso]]</f>
        <v>0</v>
      </c>
      <c r="H102" s="433">
        <f>Tabla1[[#This Row],[P Piso]]-(Tabla1[[#This Row],[P Piso]]*20%)</f>
        <v>4190.2323200000001</v>
      </c>
      <c r="I102" s="434">
        <f>IF((1-(Tabla1[[#This Row],[P Piso-20%]]/Tabla1[[#This Row],[P Oferta]]))=1,0,1-(Tabla1[[#This Row],[P Piso-20%]]/Tabla1[[#This Row],[P Oferta]]))</f>
        <v>0.8937073792759328</v>
      </c>
      <c r="J102" s="439">
        <f>Tabla1[[#This Row],[P Piso]]-(Tabla1[[#This Row],[P Piso]]*25%)</f>
        <v>3928.3427999999999</v>
      </c>
      <c r="K102" s="440">
        <f>IF((1-(Tabla1[[#This Row],[P Piso-25%]]/Tabla1[[#This Row],[P Oferta]]))=1,0,1-(Tabla1[[#This Row],[P Piso-25%]]/Tabla1[[#This Row],[P Oferta]]))</f>
        <v>0.90035066807118702</v>
      </c>
      <c r="L102" s="379"/>
      <c r="M102" s="469">
        <v>98</v>
      </c>
      <c r="N102" s="473"/>
      <c r="O102" s="473"/>
      <c r="P102" s="474"/>
      <c r="Q102" s="381"/>
      <c r="R102" s="380"/>
      <c r="S102" s="381"/>
      <c r="T102" s="106"/>
      <c r="U102" s="107"/>
      <c r="W102" s="377">
        <v>0</v>
      </c>
    </row>
    <row r="103" spans="1:23" ht="13.5" customHeight="1">
      <c r="A103" s="477">
        <v>16</v>
      </c>
      <c r="B103" s="478" t="s">
        <v>36</v>
      </c>
      <c r="C103" s="378" t="s">
        <v>365</v>
      </c>
      <c r="D103" s="387">
        <f>VLOOKUP(A103,'Evento Cotiz'!$W$49:$Y$455,3,FALSE)</f>
        <v>0</v>
      </c>
      <c r="E103" s="422">
        <f>VLOOKUP(A103,'Evento Cotiz'!$A$49:$T$459,12,FALSE)</f>
        <v>5489.1343999999999</v>
      </c>
      <c r="F103" s="427">
        <f>VLOOKUP(A103,'Evento Cotiz'!$A$49:$T$459,13,FALSE)</f>
        <v>2078.5056</v>
      </c>
      <c r="G103" s="428">
        <f>Tabla1[[#This Row],[Cantidad]]*Tabla1[[#This Row],[P Piso]]</f>
        <v>0</v>
      </c>
      <c r="H103" s="433">
        <f>Tabla1[[#This Row],[P Piso]]-(Tabla1[[#This Row],[P Piso]]*20%)</f>
        <v>1662.80448</v>
      </c>
      <c r="I103" s="434">
        <f>IF((1-(Tabla1[[#This Row],[P Piso-20%]]/Tabla1[[#This Row],[P Oferta]]))=1,0,1-(Tabla1[[#This Row],[P Piso-20%]]/Tabla1[[#This Row],[P Oferta]]))</f>
        <v>0.69707346207445742</v>
      </c>
      <c r="J103" s="439">
        <f>Tabla1[[#This Row],[P Piso]]-(Tabla1[[#This Row],[P Piso]]*25%)</f>
        <v>1558.8791999999999</v>
      </c>
      <c r="K103" s="440">
        <f>IF((1-(Tabla1[[#This Row],[P Piso-25%]]/Tabla1[[#This Row],[P Oferta]]))=1,0,1-(Tabla1[[#This Row],[P Piso-25%]]/Tabla1[[#This Row],[P Oferta]]))</f>
        <v>0.71600637069480388</v>
      </c>
      <c r="L103" s="379"/>
      <c r="M103" s="469">
        <v>99</v>
      </c>
      <c r="N103" s="473"/>
      <c r="O103" s="473"/>
      <c r="P103" s="474"/>
      <c r="Q103" s="381"/>
      <c r="R103" s="380"/>
      <c r="S103" s="381"/>
      <c r="T103" s="106"/>
      <c r="U103" s="107"/>
      <c r="W103" s="377">
        <v>0</v>
      </c>
    </row>
    <row r="104" spans="1:23" ht="13.5" customHeight="1">
      <c r="A104" s="477">
        <v>17</v>
      </c>
      <c r="B104" s="478" t="s">
        <v>37</v>
      </c>
      <c r="C104" s="378" t="s">
        <v>365</v>
      </c>
      <c r="D104" s="387">
        <f>VLOOKUP(A104,'Evento Cotiz'!$W$49:$Y$455,3,FALSE)</f>
        <v>0</v>
      </c>
      <c r="E104" s="422">
        <f>VLOOKUP(A104,'Evento Cotiz'!$A$49:$T$459,12,FALSE)</f>
        <v>4326.3951999999999</v>
      </c>
      <c r="F104" s="427">
        <f>VLOOKUP(A104,'Evento Cotiz'!$A$49:$T$459,13,FALSE)</f>
        <v>1853.3887999999999</v>
      </c>
      <c r="G104" s="428">
        <f>Tabla1[[#This Row],[Cantidad]]*Tabla1[[#This Row],[P Piso]]</f>
        <v>0</v>
      </c>
      <c r="H104" s="433">
        <f>Tabla1[[#This Row],[P Piso]]-(Tabla1[[#This Row],[P Piso]]*20%)</f>
        <v>1482.7110399999999</v>
      </c>
      <c r="I104" s="434">
        <f>IF((1-(Tabla1[[#This Row],[P Piso-20%]]/Tabla1[[#This Row],[P Oferta]]))=1,0,1-(Tabla1[[#This Row],[P Piso-20%]]/Tabla1[[#This Row],[P Oferta]]))</f>
        <v>0.65728719373579181</v>
      </c>
      <c r="J104" s="439">
        <f>Tabla1[[#This Row],[P Piso]]-(Tabla1[[#This Row],[P Piso]]*25%)</f>
        <v>1390.0416</v>
      </c>
      <c r="K104" s="440">
        <f>IF((1-(Tabla1[[#This Row],[P Piso-25%]]/Tabla1[[#This Row],[P Oferta]]))=1,0,1-(Tabla1[[#This Row],[P Piso-25%]]/Tabla1[[#This Row],[P Oferta]]))</f>
        <v>0.67870674412730492</v>
      </c>
      <c r="L104" s="379"/>
      <c r="M104" s="469">
        <v>100</v>
      </c>
      <c r="N104" s="473"/>
      <c r="O104" s="473"/>
      <c r="P104" s="474"/>
      <c r="Q104" s="381"/>
      <c r="R104" s="380"/>
      <c r="S104" s="381"/>
      <c r="T104" s="106"/>
      <c r="U104" s="107"/>
      <c r="W104" s="377">
        <v>0</v>
      </c>
    </row>
    <row r="105" spans="1:23" ht="13.5" customHeight="1">
      <c r="A105" s="477">
        <v>18</v>
      </c>
      <c r="B105" s="478" t="s">
        <v>38</v>
      </c>
      <c r="C105" s="378" t="s">
        <v>365</v>
      </c>
      <c r="D105" s="387">
        <f>VLOOKUP(A105,'Evento Cotiz'!$W$49:$Y$455,3,FALSE)</f>
        <v>0</v>
      </c>
      <c r="E105" s="422">
        <f>VLOOKUP(A105,'Evento Cotiz'!$A$49:$T$459,12,FALSE)</f>
        <v>16466.310399999998</v>
      </c>
      <c r="F105" s="427">
        <f>VLOOKUP(A105,'Evento Cotiz'!$A$49:$T$459,13,FALSE)</f>
        <v>6173.2272000000003</v>
      </c>
      <c r="G105" s="428">
        <f>Tabla1[[#This Row],[Cantidad]]*Tabla1[[#This Row],[P Piso]]</f>
        <v>0</v>
      </c>
      <c r="H105" s="433">
        <f>Tabla1[[#This Row],[P Piso]]-(Tabla1[[#This Row],[P Piso]]*20%)</f>
        <v>4938.58176</v>
      </c>
      <c r="I105" s="434">
        <f>IF((1-(Tabla1[[#This Row],[P Piso-20%]]/Tabla1[[#This Row],[P Oferta]]))=1,0,1-(Tabla1[[#This Row],[P Piso-20%]]/Tabla1[[#This Row],[P Oferta]]))</f>
        <v>0.70007963897000258</v>
      </c>
      <c r="J105" s="439">
        <f>Tabla1[[#This Row],[P Piso]]-(Tabla1[[#This Row],[P Piso]]*25%)</f>
        <v>4629.9204</v>
      </c>
      <c r="K105" s="440">
        <f>IF((1-(Tabla1[[#This Row],[P Piso-25%]]/Tabla1[[#This Row],[P Oferta]]))=1,0,1-(Tabla1[[#This Row],[P Piso-25%]]/Tabla1[[#This Row],[P Oferta]]))</f>
        <v>0.71882466153437741</v>
      </c>
      <c r="L105" s="379"/>
      <c r="M105" s="469">
        <v>101</v>
      </c>
      <c r="N105" s="473"/>
      <c r="O105" s="473"/>
      <c r="P105" s="474"/>
      <c r="Q105" s="381"/>
      <c r="R105" s="380"/>
      <c r="S105" s="381"/>
      <c r="T105" s="106"/>
      <c r="U105" s="107"/>
      <c r="W105" s="377">
        <v>0</v>
      </c>
    </row>
    <row r="106" spans="1:23">
      <c r="A106" s="477">
        <v>20</v>
      </c>
      <c r="B106" s="478" t="s">
        <v>40</v>
      </c>
      <c r="C106" s="378" t="s">
        <v>365</v>
      </c>
      <c r="D106" s="387">
        <f>VLOOKUP(A106,'Evento Cotiz'!$W$49:$Y$455,3,FALSE)</f>
        <v>0</v>
      </c>
      <c r="E106" s="422">
        <f>VLOOKUP(A106,'Evento Cotiz'!$A$49:$T$459,12,FALSE)</f>
        <v>16750.438399999999</v>
      </c>
      <c r="F106" s="427">
        <f>VLOOKUP(A106,'Evento Cotiz'!$A$49:$T$459,13,FALSE)</f>
        <v>9297.5424000000003</v>
      </c>
      <c r="G106" s="428">
        <f>Tabla1[[#This Row],[Cantidad]]*Tabla1[[#This Row],[P Piso]]</f>
        <v>0</v>
      </c>
      <c r="H106" s="433">
        <f>Tabla1[[#This Row],[P Piso]]-(Tabla1[[#This Row],[P Piso]]*20%)</f>
        <v>7438.0339199999999</v>
      </c>
      <c r="I106" s="434">
        <f>IF((1-(Tabla1[[#This Row],[P Piso-20%]]/Tabla1[[#This Row],[P Oferta]]))=1,0,1-(Tabla1[[#This Row],[P Piso-20%]]/Tabla1[[#This Row],[P Oferta]]))</f>
        <v>0.55594989561586639</v>
      </c>
      <c r="J106" s="439">
        <f>Tabla1[[#This Row],[P Piso]]-(Tabla1[[#This Row],[P Piso]]*25%)</f>
        <v>6973.1568000000007</v>
      </c>
      <c r="K106" s="440">
        <f>IF((1-(Tabla1[[#This Row],[P Piso-25%]]/Tabla1[[#This Row],[P Oferta]]))=1,0,1-(Tabla1[[#This Row],[P Piso-25%]]/Tabla1[[#This Row],[P Oferta]]))</f>
        <v>0.58370302713987465</v>
      </c>
      <c r="M106" s="469">
        <v>102</v>
      </c>
      <c r="N106" s="473"/>
      <c r="O106" s="473"/>
      <c r="P106" s="474"/>
      <c r="Q106" s="381"/>
      <c r="R106" s="380"/>
      <c r="S106" s="381"/>
      <c r="T106" s="106"/>
      <c r="U106" s="107"/>
      <c r="W106" s="377">
        <v>1</v>
      </c>
    </row>
    <row r="107" spans="1:23" ht="13.5" customHeight="1">
      <c r="A107" s="477">
        <v>23</v>
      </c>
      <c r="B107" s="478" t="s">
        <v>43</v>
      </c>
      <c r="C107" s="378" t="s">
        <v>365</v>
      </c>
      <c r="D107" s="387">
        <f>VLOOKUP(A107,'Evento Cotiz'!$W$49:$Y$455,3,FALSE)</f>
        <v>0</v>
      </c>
      <c r="E107" s="422">
        <f>VLOOKUP(A107,'Evento Cotiz'!$A$49:$T$459,12,FALSE)</f>
        <v>5736.1072000000004</v>
      </c>
      <c r="F107" s="427">
        <f>VLOOKUP(A107,'Evento Cotiz'!$A$49:$T$459,13,FALSE)</f>
        <v>2833.6304</v>
      </c>
      <c r="G107" s="428">
        <f>Tabla1[[#This Row],[Cantidad]]*Tabla1[[#This Row],[P Piso]]</f>
        <v>0</v>
      </c>
      <c r="H107" s="433">
        <f>Tabla1[[#This Row],[P Piso]]-(Tabla1[[#This Row],[P Piso]]*20%)</f>
        <v>2266.9043200000001</v>
      </c>
      <c r="I107" s="434">
        <f>IF((1-(Tabla1[[#This Row],[P Piso-20%]]/Tabla1[[#This Row],[P Oferta]]))=1,0,1-(Tabla1[[#This Row],[P Piso-20%]]/Tabla1[[#This Row],[P Oferta]]))</f>
        <v>0.60480091445989714</v>
      </c>
      <c r="J107" s="439">
        <f>Tabla1[[#This Row],[P Piso]]-(Tabla1[[#This Row],[P Piso]]*25%)</f>
        <v>2125.2228</v>
      </c>
      <c r="K107" s="440">
        <f>IF((1-(Tabla1[[#This Row],[P Piso-25%]]/Tabla1[[#This Row],[P Oferta]]))=1,0,1-(Tabla1[[#This Row],[P Piso-25%]]/Tabla1[[#This Row],[P Oferta]]))</f>
        <v>0.62950085730615357</v>
      </c>
      <c r="L107" s="379"/>
      <c r="M107" s="469">
        <v>103</v>
      </c>
      <c r="N107" s="473"/>
      <c r="O107" s="473"/>
      <c r="P107" s="474"/>
      <c r="Q107" s="381"/>
      <c r="R107" s="380"/>
      <c r="S107" s="381"/>
      <c r="T107" s="106"/>
      <c r="U107" s="107"/>
      <c r="W107" s="377">
        <v>0</v>
      </c>
    </row>
    <row r="108" spans="1:23" ht="13.5" customHeight="1">
      <c r="A108" s="477">
        <v>24</v>
      </c>
      <c r="B108" s="478" t="s">
        <v>44</v>
      </c>
      <c r="C108" s="378" t="s">
        <v>365</v>
      </c>
      <c r="D108" s="387">
        <f>VLOOKUP(A108,'Evento Cotiz'!$W$49:$Y$455,3,FALSE)</f>
        <v>0</v>
      </c>
      <c r="E108" s="422">
        <f>VLOOKUP(A108,'Evento Cotiz'!$A$49:$T$459,12,FALSE)</f>
        <v>4314.3743999999997</v>
      </c>
      <c r="F108" s="427">
        <f>VLOOKUP(A108,'Evento Cotiz'!$A$49:$T$459,13,FALSE)</f>
        <v>1878.5232000000001</v>
      </c>
      <c r="G108" s="428">
        <f>Tabla1[[#This Row],[Cantidad]]*Tabla1[[#This Row],[P Piso]]</f>
        <v>0</v>
      </c>
      <c r="H108" s="433">
        <f>Tabla1[[#This Row],[P Piso]]-(Tabla1[[#This Row],[P Piso]]*20%)</f>
        <v>1502.8185600000002</v>
      </c>
      <c r="I108" s="434">
        <f>IF((1-(Tabla1[[#This Row],[P Piso-20%]]/Tabla1[[#This Row],[P Oferta]]))=1,0,1-(Tabla1[[#This Row],[P Piso-20%]]/Tabla1[[#This Row],[P Oferta]]))</f>
        <v>0.65167173252279631</v>
      </c>
      <c r="J108" s="439">
        <f>Tabla1[[#This Row],[P Piso]]-(Tabla1[[#This Row],[P Piso]]*25%)</f>
        <v>1408.8924000000002</v>
      </c>
      <c r="K108" s="440">
        <f>IF((1-(Tabla1[[#This Row],[P Piso-25%]]/Tabla1[[#This Row],[P Oferta]]))=1,0,1-(Tabla1[[#This Row],[P Piso-25%]]/Tabla1[[#This Row],[P Oferta]]))</f>
        <v>0.67344224924012153</v>
      </c>
      <c r="L108" s="379"/>
      <c r="M108" s="469">
        <v>104</v>
      </c>
      <c r="N108" s="473"/>
      <c r="O108" s="473"/>
      <c r="P108" s="474"/>
      <c r="Q108" s="381"/>
      <c r="R108" s="380"/>
      <c r="S108" s="381"/>
      <c r="T108" s="106"/>
      <c r="U108" s="107"/>
      <c r="W108" s="377">
        <v>0</v>
      </c>
    </row>
    <row r="109" spans="1:23" ht="13.5" customHeight="1">
      <c r="A109" s="477">
        <v>25</v>
      </c>
      <c r="B109" s="478" t="s">
        <v>367</v>
      </c>
      <c r="C109" s="378" t="s">
        <v>365</v>
      </c>
      <c r="D109" s="387">
        <f>VLOOKUP(A109,'Evento Cotiz'!$W$49:$Y$455,3,FALSE)</f>
        <v>0</v>
      </c>
      <c r="E109" s="422">
        <f>VLOOKUP(A109,'Evento Cotiz'!$A$49:$T$459,12,FALSE)</f>
        <v>20669.2192</v>
      </c>
      <c r="F109" s="427">
        <f>VLOOKUP(A109,'Evento Cotiz'!$A$49:$T$459,13,FALSE)</f>
        <v>5362.3696</v>
      </c>
      <c r="G109" s="428">
        <f>Tabla1[[#This Row],[Cantidad]]*Tabla1[[#This Row],[P Piso]]</f>
        <v>0</v>
      </c>
      <c r="H109" s="433">
        <f>Tabla1[[#This Row],[P Piso]]-(Tabla1[[#This Row],[P Piso]]*20%)</f>
        <v>4289.8956799999996</v>
      </c>
      <c r="I109" s="434">
        <f>IF((1-(Tabla1[[#This Row],[P Piso-20%]]/Tabla1[[#This Row],[P Oferta]]))=1,0,1-(Tabla1[[#This Row],[P Piso-20%]]/Tabla1[[#This Row],[P Oferta]]))</f>
        <v>0.79245003700962258</v>
      </c>
      <c r="J109" s="439">
        <f>Tabla1[[#This Row],[P Piso]]-(Tabla1[[#This Row],[P Piso]]*25%)</f>
        <v>4021.7772</v>
      </c>
      <c r="K109" s="440">
        <f>IF((1-(Tabla1[[#This Row],[P Piso-25%]]/Tabla1[[#This Row],[P Oferta]]))=1,0,1-(Tabla1[[#This Row],[P Piso-25%]]/Tabla1[[#This Row],[P Oferta]]))</f>
        <v>0.80542190969652105</v>
      </c>
      <c r="L109" s="379"/>
      <c r="M109" s="469">
        <v>105</v>
      </c>
      <c r="N109" s="473"/>
      <c r="O109" s="473"/>
      <c r="P109" s="474"/>
      <c r="Q109" s="381"/>
      <c r="R109" s="380"/>
      <c r="S109" s="381"/>
      <c r="T109" s="106"/>
      <c r="U109" s="107"/>
      <c r="W109" s="377">
        <v>0</v>
      </c>
    </row>
    <row r="110" spans="1:23" ht="13.5" customHeight="1">
      <c r="A110" s="477">
        <v>28</v>
      </c>
      <c r="B110" s="478" t="s">
        <v>47</v>
      </c>
      <c r="C110" s="378" t="s">
        <v>365</v>
      </c>
      <c r="D110" s="387">
        <f>VLOOKUP(A110,'Evento Cotiz'!$W$49:$Y$455,3,FALSE)</f>
        <v>0</v>
      </c>
      <c r="E110" s="422">
        <f>VLOOKUP(A110,'Evento Cotiz'!$A$49:$T$459,12,FALSE)</f>
        <v>6304.3631999999998</v>
      </c>
      <c r="F110" s="427">
        <f>VLOOKUP(A110,'Evento Cotiz'!$A$49:$T$459,13,FALSE)</f>
        <v>2934.1680000000001</v>
      </c>
      <c r="G110" s="428">
        <f>Tabla1[[#This Row],[Cantidad]]*Tabla1[[#This Row],[P Piso]]</f>
        <v>0</v>
      </c>
      <c r="H110" s="433">
        <f>Tabla1[[#This Row],[P Piso]]-(Tabla1[[#This Row],[P Piso]]*20%)</f>
        <v>2347.3344000000002</v>
      </c>
      <c r="I110" s="434">
        <f>IF((1-(Tabla1[[#This Row],[P Piso-20%]]/Tabla1[[#This Row],[P Oferta]]))=1,0,1-(Tabla1[[#This Row],[P Piso-20%]]/Tabla1[[#This Row],[P Oferta]]))</f>
        <v>0.62766510660426411</v>
      </c>
      <c r="J110" s="439">
        <f>Tabla1[[#This Row],[P Piso]]-(Tabla1[[#This Row],[P Piso]]*25%)</f>
        <v>2200.6260000000002</v>
      </c>
      <c r="K110" s="440">
        <f>IF((1-(Tabla1[[#This Row],[P Piso-25%]]/Tabla1[[#This Row],[P Oferta]]))=1,0,1-(Tabla1[[#This Row],[P Piso-25%]]/Tabla1[[#This Row],[P Oferta]]))</f>
        <v>0.65093603744149764</v>
      </c>
      <c r="L110" s="379"/>
      <c r="M110" s="469">
        <v>106</v>
      </c>
      <c r="N110" s="473"/>
      <c r="O110" s="473"/>
      <c r="P110" s="474"/>
      <c r="Q110" s="381"/>
      <c r="R110" s="380"/>
      <c r="S110" s="381"/>
      <c r="T110" s="106"/>
      <c r="U110" s="107"/>
      <c r="W110" s="377">
        <v>0</v>
      </c>
    </row>
    <row r="111" spans="1:23" ht="13.5" customHeight="1">
      <c r="A111" s="477">
        <v>29</v>
      </c>
      <c r="B111" s="478" t="s">
        <v>48</v>
      </c>
      <c r="C111" s="378" t="s">
        <v>365</v>
      </c>
      <c r="D111" s="387">
        <f>VLOOKUP(A111,'Evento Cotiz'!$W$49:$Y$455,3,FALSE)</f>
        <v>0</v>
      </c>
      <c r="E111" s="422">
        <f>VLOOKUP(A111,'Evento Cotiz'!$A$49:$T$459,12,FALSE)</f>
        <v>4437.8608000000004</v>
      </c>
      <c r="F111" s="427">
        <f>VLOOKUP(A111,'Evento Cotiz'!$A$49:$T$459,13,FALSE)</f>
        <v>1905.8432</v>
      </c>
      <c r="G111" s="428">
        <f>Tabla1[[#This Row],[Cantidad]]*Tabla1[[#This Row],[P Piso]]</f>
        <v>0</v>
      </c>
      <c r="H111" s="433">
        <f>Tabla1[[#This Row],[P Piso]]-(Tabla1[[#This Row],[P Piso]]*20%)</f>
        <v>1524.6745599999999</v>
      </c>
      <c r="I111" s="434">
        <f>IF((1-(Tabla1[[#This Row],[P Piso-20%]]/Tabla1[[#This Row],[P Oferta]]))=1,0,1-(Tabla1[[#This Row],[P Piso-20%]]/Tabla1[[#This Row],[P Oferta]]))</f>
        <v>0.65643930066486089</v>
      </c>
      <c r="J111" s="439">
        <f>Tabla1[[#This Row],[P Piso]]-(Tabla1[[#This Row],[P Piso]]*25%)</f>
        <v>1429.3824</v>
      </c>
      <c r="K111" s="440">
        <f>IF((1-(Tabla1[[#This Row],[P Piso-25%]]/Tabla1[[#This Row],[P Oferta]]))=1,0,1-(Tabla1[[#This Row],[P Piso-25%]]/Tabla1[[#This Row],[P Oferta]]))</f>
        <v>0.67791184437330709</v>
      </c>
      <c r="L111" s="379"/>
      <c r="M111" s="469">
        <v>107</v>
      </c>
      <c r="N111" s="473"/>
      <c r="O111" s="473"/>
      <c r="P111" s="474"/>
      <c r="Q111" s="381"/>
      <c r="R111" s="380"/>
      <c r="S111" s="381"/>
      <c r="T111" s="106"/>
      <c r="U111" s="107"/>
      <c r="W111" s="377">
        <v>0</v>
      </c>
    </row>
    <row r="112" spans="1:23" ht="13.5" customHeight="1">
      <c r="A112" s="477">
        <v>31</v>
      </c>
      <c r="B112" s="478" t="s">
        <v>50</v>
      </c>
      <c r="C112" s="378" t="s">
        <v>365</v>
      </c>
      <c r="D112" s="387">
        <f>VLOOKUP(A112,'Evento Cotiz'!$W$49:$Y$455,3,FALSE)</f>
        <v>0</v>
      </c>
      <c r="E112" s="422">
        <f>VLOOKUP(A112,'Evento Cotiz'!$A$49:$T$459,12,FALSE)</f>
        <v>5043.2719999999999</v>
      </c>
      <c r="F112" s="427">
        <f>VLOOKUP(A112,'Evento Cotiz'!$A$49:$T$459,13,FALSE)</f>
        <v>2371.3760000000002</v>
      </c>
      <c r="G112" s="428">
        <f>Tabla1[[#This Row],[Cantidad]]*Tabla1[[#This Row],[P Piso]]</f>
        <v>0</v>
      </c>
      <c r="H112" s="433">
        <f>Tabla1[[#This Row],[P Piso]]-(Tabla1[[#This Row],[P Piso]]*20%)</f>
        <v>1897.1008000000002</v>
      </c>
      <c r="I112" s="434">
        <f>IF((1-(Tabla1[[#This Row],[P Piso-20%]]/Tabla1[[#This Row],[P Oferta]]))=1,0,1-(Tabla1[[#This Row],[P Piso-20%]]/Tabla1[[#This Row],[P Oferta]]))</f>
        <v>0.62383531960996752</v>
      </c>
      <c r="J112" s="439">
        <f>Tabla1[[#This Row],[P Piso]]-(Tabla1[[#This Row],[P Piso]]*25%)</f>
        <v>1778.5320000000002</v>
      </c>
      <c r="K112" s="440">
        <f>IF((1-(Tabla1[[#This Row],[P Piso-25%]]/Tabla1[[#This Row],[P Oferta]]))=1,0,1-(Tabla1[[#This Row],[P Piso-25%]]/Tabla1[[#This Row],[P Oferta]]))</f>
        <v>0.64734561213434449</v>
      </c>
      <c r="L112" s="379"/>
      <c r="M112" s="469">
        <v>108</v>
      </c>
      <c r="N112" s="473"/>
      <c r="O112" s="473"/>
      <c r="P112" s="474"/>
      <c r="Q112" s="381"/>
      <c r="R112" s="380"/>
      <c r="S112" s="381"/>
      <c r="T112" s="106"/>
      <c r="U112" s="107"/>
      <c r="W112" s="377">
        <v>0</v>
      </c>
    </row>
    <row r="113" spans="1:23" ht="13.5" customHeight="1">
      <c r="A113" s="477">
        <v>32</v>
      </c>
      <c r="B113" s="478" t="s">
        <v>51</v>
      </c>
      <c r="C113" s="378" t="s">
        <v>365</v>
      </c>
      <c r="D113" s="387">
        <f>VLOOKUP(A113,'Evento Cotiz'!$W$49:$Y$455,3,FALSE)</f>
        <v>0</v>
      </c>
      <c r="E113" s="422">
        <f>VLOOKUP(A113,'Evento Cotiz'!$A$49:$T$459,12,FALSE)</f>
        <v>42265.132799999999</v>
      </c>
      <c r="F113" s="427">
        <f>VLOOKUP(A113,'Evento Cotiz'!$A$49:$T$459,13,FALSE)</f>
        <v>14518.9408</v>
      </c>
      <c r="G113" s="428">
        <f>Tabla1[[#This Row],[Cantidad]]*Tabla1[[#This Row],[P Piso]]</f>
        <v>0</v>
      </c>
      <c r="H113" s="433">
        <f>Tabla1[[#This Row],[P Piso]]-(Tabla1[[#This Row],[P Piso]]*20%)</f>
        <v>11615.15264</v>
      </c>
      <c r="I113" s="434">
        <f>IF((1-(Tabla1[[#This Row],[P Piso-20%]]/Tabla1[[#This Row],[P Oferta]]))=1,0,1-(Tabla1[[#This Row],[P Piso-20%]]/Tabla1[[#This Row],[P Oferta]]))</f>
        <v>0.72518357637811559</v>
      </c>
      <c r="J113" s="439">
        <f>Tabla1[[#This Row],[P Piso]]-(Tabla1[[#This Row],[P Piso]]*25%)</f>
        <v>10889.205600000001</v>
      </c>
      <c r="K113" s="440">
        <f>IF((1-(Tabla1[[#This Row],[P Piso-25%]]/Tabla1[[#This Row],[P Oferta]]))=1,0,1-(Tabla1[[#This Row],[P Piso-25%]]/Tabla1[[#This Row],[P Oferta]]))</f>
        <v>0.74235960285448344</v>
      </c>
      <c r="L113" s="379"/>
      <c r="M113" s="469">
        <v>109</v>
      </c>
      <c r="N113" s="473"/>
      <c r="O113" s="473"/>
      <c r="P113" s="474"/>
      <c r="Q113" s="381"/>
      <c r="R113" s="380"/>
      <c r="S113" s="381"/>
      <c r="T113" s="106"/>
      <c r="U113" s="107"/>
      <c r="W113" s="377">
        <v>0</v>
      </c>
    </row>
    <row r="114" spans="1:23" ht="13.5" customHeight="1">
      <c r="A114" s="477">
        <v>33</v>
      </c>
      <c r="B114" s="478" t="s">
        <v>52</v>
      </c>
      <c r="C114" s="378" t="s">
        <v>365</v>
      </c>
      <c r="D114" s="387">
        <f>VLOOKUP(A114,'Evento Cotiz'!$W$49:$Y$455,3,FALSE)</f>
        <v>0</v>
      </c>
      <c r="E114" s="422">
        <f>VLOOKUP(A114,'Evento Cotiz'!$A$49:$T$459,12,FALSE)</f>
        <v>41213.859199999999</v>
      </c>
      <c r="F114" s="427">
        <f>VLOOKUP(A114,'Evento Cotiz'!$A$49:$T$459,13,FALSE)</f>
        <v>12810.894399999999</v>
      </c>
      <c r="G114" s="428">
        <f>Tabla1[[#This Row],[Cantidad]]*Tabla1[[#This Row],[P Piso]]</f>
        <v>0</v>
      </c>
      <c r="H114" s="433">
        <f>Tabla1[[#This Row],[P Piso]]-(Tabla1[[#This Row],[P Piso]]*20%)</f>
        <v>10248.71552</v>
      </c>
      <c r="I114" s="434">
        <f>IF((1-(Tabla1[[#This Row],[P Piso-20%]]/Tabla1[[#This Row],[P Oferta]]))=1,0,1-(Tabla1[[#This Row],[P Piso-20%]]/Tabla1[[#This Row],[P Oferta]]))</f>
        <v>0.75132841915469051</v>
      </c>
      <c r="J114" s="439">
        <f>Tabla1[[#This Row],[P Piso]]-(Tabla1[[#This Row],[P Piso]]*25%)</f>
        <v>9608.1707999999999</v>
      </c>
      <c r="K114" s="440">
        <f>IF((1-(Tabla1[[#This Row],[P Piso-25%]]/Tabla1[[#This Row],[P Oferta]]))=1,0,1-(Tabla1[[#This Row],[P Piso-25%]]/Tabla1[[#This Row],[P Oferta]]))</f>
        <v>0.76687039295752246</v>
      </c>
      <c r="L114" s="379"/>
      <c r="M114" s="469">
        <v>110</v>
      </c>
      <c r="N114" s="473"/>
      <c r="O114" s="473"/>
      <c r="P114" s="474"/>
      <c r="Q114" s="381"/>
      <c r="R114" s="380"/>
      <c r="S114" s="381"/>
      <c r="T114" s="106"/>
      <c r="U114" s="107"/>
      <c r="W114" s="377">
        <v>0</v>
      </c>
    </row>
    <row r="115" spans="1:23" ht="13.5" customHeight="1">
      <c r="A115" s="477">
        <v>34</v>
      </c>
      <c r="B115" s="478" t="s">
        <v>53</v>
      </c>
      <c r="C115" s="378" t="s">
        <v>365</v>
      </c>
      <c r="D115" s="387">
        <f>VLOOKUP(A115,'Evento Cotiz'!$W$49:$Y$455,3,FALSE)</f>
        <v>0</v>
      </c>
      <c r="E115" s="422">
        <f>VLOOKUP(A115,'Evento Cotiz'!$A$49:$T$459,12,FALSE)</f>
        <v>12608.7264</v>
      </c>
      <c r="F115" s="427">
        <f>VLOOKUP(A115,'Evento Cotiz'!$A$49:$T$459,13,FALSE)</f>
        <v>3370.1952000000001</v>
      </c>
      <c r="G115" s="428">
        <f>Tabla1[[#This Row],[Cantidad]]*Tabla1[[#This Row],[P Piso]]</f>
        <v>0</v>
      </c>
      <c r="H115" s="433">
        <f>Tabla1[[#This Row],[P Piso]]-(Tabla1[[#This Row],[P Piso]]*20%)</f>
        <v>2696.15616</v>
      </c>
      <c r="I115" s="434">
        <f>IF((1-(Tabla1[[#This Row],[P Piso-20%]]/Tabla1[[#This Row],[P Oferta]]))=1,0,1-(Tabla1[[#This Row],[P Piso-20%]]/Tabla1[[#This Row],[P Oferta]]))</f>
        <v>0.78616744669786787</v>
      </c>
      <c r="J115" s="439">
        <f>Tabla1[[#This Row],[P Piso]]-(Tabla1[[#This Row],[P Piso]]*25%)</f>
        <v>2527.6464000000001</v>
      </c>
      <c r="K115" s="440">
        <f>IF((1-(Tabla1[[#This Row],[P Piso-25%]]/Tabla1[[#This Row],[P Oferta]]))=1,0,1-(Tabla1[[#This Row],[P Piso-25%]]/Tabla1[[#This Row],[P Oferta]]))</f>
        <v>0.79953198127925118</v>
      </c>
      <c r="L115" s="379"/>
      <c r="M115" s="469">
        <v>111</v>
      </c>
      <c r="N115" s="473"/>
      <c r="O115" s="473"/>
      <c r="P115" s="474"/>
      <c r="Q115" s="381"/>
      <c r="R115" s="380"/>
      <c r="S115" s="381"/>
      <c r="T115" s="106"/>
      <c r="U115" s="107"/>
      <c r="W115" s="377">
        <v>0</v>
      </c>
    </row>
    <row r="116" spans="1:23">
      <c r="A116" s="477">
        <v>36</v>
      </c>
      <c r="B116" s="478" t="s">
        <v>55</v>
      </c>
      <c r="C116" s="378" t="s">
        <v>365</v>
      </c>
      <c r="D116" s="387">
        <f>VLOOKUP(A116,'Evento Cotiz'!$W$49:$Y$455,3,FALSE)</f>
        <v>0</v>
      </c>
      <c r="E116" s="422">
        <f>VLOOKUP(A116,'Evento Cotiz'!$A$49:$T$459,12,FALSE)</f>
        <v>19952.342400000001</v>
      </c>
      <c r="F116" s="427">
        <f>VLOOKUP(A116,'Evento Cotiz'!$A$49:$T$459,13,FALSE)</f>
        <v>11326.871999999999</v>
      </c>
      <c r="G116" s="428">
        <f>Tabla1[[#This Row],[Cantidad]]*Tabla1[[#This Row],[P Piso]]</f>
        <v>0</v>
      </c>
      <c r="H116" s="433">
        <f>Tabla1[[#This Row],[P Piso]]-(Tabla1[[#This Row],[P Piso]]*20%)</f>
        <v>9061.4975999999988</v>
      </c>
      <c r="I116" s="434">
        <f>IF((1-(Tabla1[[#This Row],[P Piso-20%]]/Tabla1[[#This Row],[P Oferta]]))=1,0,1-(Tabla1[[#This Row],[P Piso-20%]]/Tabla1[[#This Row],[P Oferta]]))</f>
        <v>0.54584291817285591</v>
      </c>
      <c r="J116" s="439">
        <f>Tabla1[[#This Row],[P Piso]]-(Tabla1[[#This Row],[P Piso]]*25%)</f>
        <v>8495.1539999999986</v>
      </c>
      <c r="K116" s="440">
        <f>IF((1-(Tabla1[[#This Row],[P Piso-25%]]/Tabla1[[#This Row],[P Oferta]]))=1,0,1-(Tabla1[[#This Row],[P Piso-25%]]/Tabla1[[#This Row],[P Oferta]]))</f>
        <v>0.57422773578705233</v>
      </c>
      <c r="L116" s="416"/>
      <c r="M116" s="469">
        <v>112</v>
      </c>
      <c r="N116" s="473"/>
      <c r="O116" s="473"/>
      <c r="P116" s="474"/>
      <c r="Q116" s="381"/>
      <c r="R116" s="380"/>
      <c r="S116" s="381"/>
      <c r="T116" s="106"/>
      <c r="U116" s="107"/>
      <c r="W116" s="377">
        <v>10</v>
      </c>
    </row>
    <row r="117" spans="1:23" ht="13.5" customHeight="1">
      <c r="A117" s="477">
        <v>37</v>
      </c>
      <c r="B117" s="478" t="s">
        <v>56</v>
      </c>
      <c r="C117" s="378" t="s">
        <v>365</v>
      </c>
      <c r="D117" s="387">
        <f>VLOOKUP(A117,'Evento Cotiz'!$W$49:$Y$455,3,FALSE)</f>
        <v>0</v>
      </c>
      <c r="E117" s="422">
        <f>VLOOKUP(A117,'Evento Cotiz'!$A$49:$T$459,12,FALSE)</f>
        <v>6699.9567999999999</v>
      </c>
      <c r="F117" s="427">
        <f>VLOOKUP(A117,'Evento Cotiz'!$A$49:$T$459,13,FALSE)</f>
        <v>3268.5648000000001</v>
      </c>
      <c r="G117" s="428">
        <f>Tabla1[[#This Row],[Cantidad]]*Tabla1[[#This Row],[P Piso]]</f>
        <v>0</v>
      </c>
      <c r="H117" s="433">
        <f>Tabla1[[#This Row],[P Piso]]-(Tabla1[[#This Row],[P Piso]]*20%)</f>
        <v>2614.8518400000003</v>
      </c>
      <c r="I117" s="434">
        <f>IF((1-(Tabla1[[#This Row],[P Piso-20%]]/Tabla1[[#This Row],[P Oferta]]))=1,0,1-(Tabla1[[#This Row],[P Piso-20%]]/Tabla1[[#This Row],[P Oferta]]))</f>
        <v>0.60972108954493554</v>
      </c>
      <c r="J117" s="439">
        <f>Tabla1[[#This Row],[P Piso]]-(Tabla1[[#This Row],[P Piso]]*25%)</f>
        <v>2451.4236000000001</v>
      </c>
      <c r="K117" s="440">
        <f>IF((1-(Tabla1[[#This Row],[P Piso-25%]]/Tabla1[[#This Row],[P Oferta]]))=1,0,1-(Tabla1[[#This Row],[P Piso-25%]]/Tabla1[[#This Row],[P Oferta]]))</f>
        <v>0.63411352144837707</v>
      </c>
      <c r="L117" s="379"/>
      <c r="M117" s="469">
        <v>113</v>
      </c>
      <c r="N117" s="473"/>
      <c r="O117" s="473"/>
      <c r="P117" s="474"/>
      <c r="Q117" s="381"/>
      <c r="R117" s="380"/>
      <c r="S117" s="381"/>
      <c r="T117" s="106"/>
      <c r="U117" s="107"/>
      <c r="W117" s="377">
        <v>0</v>
      </c>
    </row>
    <row r="118" spans="1:23" ht="13.5" customHeight="1">
      <c r="A118" s="477">
        <v>38</v>
      </c>
      <c r="B118" s="478" t="s">
        <v>57</v>
      </c>
      <c r="C118" s="378" t="s">
        <v>365</v>
      </c>
      <c r="D118" s="387">
        <f>VLOOKUP(A118,'Evento Cotiz'!$W$49:$Y$455,3,FALSE)</f>
        <v>0</v>
      </c>
      <c r="E118" s="422">
        <f>VLOOKUP(A118,'Evento Cotiz'!$A$49:$T$459,12,FALSE)</f>
        <v>5562.3519999999999</v>
      </c>
      <c r="F118" s="427">
        <f>VLOOKUP(A118,'Evento Cotiz'!$A$49:$T$459,13,FALSE)</f>
        <v>2053.3712</v>
      </c>
      <c r="G118" s="428">
        <f>Tabla1[[#This Row],[Cantidad]]*Tabla1[[#This Row],[P Piso]]</f>
        <v>0</v>
      </c>
      <c r="H118" s="433">
        <f>Tabla1[[#This Row],[P Piso]]-(Tabla1[[#This Row],[P Piso]]*20%)</f>
        <v>1642.69696</v>
      </c>
      <c r="I118" s="434">
        <f>IF((1-(Tabla1[[#This Row],[P Piso-20%]]/Tabla1[[#This Row],[P Oferta]]))=1,0,1-(Tabla1[[#This Row],[P Piso-20%]]/Tabla1[[#This Row],[P Oferta]]))</f>
        <v>0.70467583497053043</v>
      </c>
      <c r="J118" s="439">
        <f>Tabla1[[#This Row],[P Piso]]-(Tabla1[[#This Row],[P Piso]]*25%)</f>
        <v>1540.0284000000001</v>
      </c>
      <c r="K118" s="440">
        <f>IF((1-(Tabla1[[#This Row],[P Piso-25%]]/Tabla1[[#This Row],[P Oferta]]))=1,0,1-(Tabla1[[#This Row],[P Piso-25%]]/Tabla1[[#This Row],[P Oferta]]))</f>
        <v>0.72313359528487231</v>
      </c>
      <c r="L118" s="379"/>
      <c r="M118" s="469">
        <v>114</v>
      </c>
      <c r="N118" s="473"/>
      <c r="O118" s="473"/>
      <c r="P118" s="474"/>
      <c r="Q118" s="381"/>
      <c r="R118" s="380"/>
      <c r="S118" s="381"/>
      <c r="T118" s="106"/>
      <c r="U118" s="107"/>
      <c r="W118" s="377">
        <v>0</v>
      </c>
    </row>
    <row r="119" spans="1:23" ht="13.5" customHeight="1">
      <c r="A119" s="477">
        <v>39</v>
      </c>
      <c r="B119" s="478" t="s">
        <v>58</v>
      </c>
      <c r="C119" s="378" t="s">
        <v>365</v>
      </c>
      <c r="D119" s="387">
        <f>VLOOKUP(A119,'Evento Cotiz'!$W$49:$Y$455,3,FALSE)</f>
        <v>0</v>
      </c>
      <c r="E119" s="422">
        <f>VLOOKUP(A119,'Evento Cotiz'!$A$49:$T$459,12,FALSE)</f>
        <v>17986.395199999999</v>
      </c>
      <c r="F119" s="427">
        <f>VLOOKUP(A119,'Evento Cotiz'!$A$49:$T$459,13,FALSE)</f>
        <v>6487.9535999999998</v>
      </c>
      <c r="G119" s="428">
        <f>Tabla1[[#This Row],[Cantidad]]*Tabla1[[#This Row],[P Piso]]</f>
        <v>0</v>
      </c>
      <c r="H119" s="433">
        <f>Tabla1[[#This Row],[P Piso]]-(Tabla1[[#This Row],[P Piso]]*20%)</f>
        <v>5190.3628799999997</v>
      </c>
      <c r="I119" s="434">
        <f>IF((1-(Tabla1[[#This Row],[P Piso-20%]]/Tabla1[[#This Row],[P Oferta]]))=1,0,1-(Tabla1[[#This Row],[P Piso-20%]]/Tabla1[[#This Row],[P Oferta]]))</f>
        <v>0.7114283978370497</v>
      </c>
      <c r="J119" s="439">
        <f>Tabla1[[#This Row],[P Piso]]-(Tabla1[[#This Row],[P Piso]]*25%)</f>
        <v>4865.9651999999996</v>
      </c>
      <c r="K119" s="440">
        <f>IF((1-(Tabla1[[#This Row],[P Piso-25%]]/Tabla1[[#This Row],[P Oferta]]))=1,0,1-(Tabla1[[#This Row],[P Piso-25%]]/Tabla1[[#This Row],[P Oferta]]))</f>
        <v>0.72946412297223406</v>
      </c>
      <c r="L119" s="379"/>
      <c r="M119" s="469">
        <v>115</v>
      </c>
      <c r="N119" s="473"/>
      <c r="O119" s="473"/>
      <c r="P119" s="474"/>
      <c r="Q119" s="381"/>
      <c r="R119" s="380"/>
      <c r="S119" s="381"/>
      <c r="T119" s="106"/>
      <c r="U119" s="107"/>
      <c r="W119" s="377">
        <v>0</v>
      </c>
    </row>
    <row r="120" spans="1:23" ht="13.5" customHeight="1">
      <c r="A120" s="477">
        <v>40</v>
      </c>
      <c r="B120" s="478" t="s">
        <v>59</v>
      </c>
      <c r="C120" s="378" t="s">
        <v>365</v>
      </c>
      <c r="D120" s="387">
        <f>VLOOKUP(A120,'Evento Cotiz'!$W$49:$Y$455,3,FALSE)</f>
        <v>0</v>
      </c>
      <c r="E120" s="422">
        <f>VLOOKUP(A120,'Evento Cotiz'!$A$49:$T$459,12,FALSE)</f>
        <v>16070.7168</v>
      </c>
      <c r="F120" s="427">
        <f>VLOOKUP(A120,'Evento Cotiz'!$A$49:$T$459,13,FALSE)</f>
        <v>5003.9312</v>
      </c>
      <c r="G120" s="428">
        <f>Tabla1[[#This Row],[Cantidad]]*Tabla1[[#This Row],[P Piso]]</f>
        <v>0</v>
      </c>
      <c r="H120" s="433">
        <f>Tabla1[[#This Row],[P Piso]]-(Tabla1[[#This Row],[P Piso]]*20%)</f>
        <v>4003.1449600000001</v>
      </c>
      <c r="I120" s="434">
        <f>IF((1-(Tabla1[[#This Row],[P Piso-20%]]/Tabla1[[#This Row],[P Oferta]]))=1,0,1-(Tabla1[[#This Row],[P Piso-20%]]/Tabla1[[#This Row],[P Oferta]]))</f>
        <v>0.75090439276485788</v>
      </c>
      <c r="J120" s="439">
        <f>Tabla1[[#This Row],[P Piso]]-(Tabla1[[#This Row],[P Piso]]*25%)</f>
        <v>3752.9484000000002</v>
      </c>
      <c r="K120" s="440">
        <f>IF((1-(Tabla1[[#This Row],[P Piso-25%]]/Tabla1[[#This Row],[P Oferta]]))=1,0,1-(Tabla1[[#This Row],[P Piso-25%]]/Tabla1[[#This Row],[P Oferta]]))</f>
        <v>0.76647286821705429</v>
      </c>
      <c r="L120" s="379"/>
      <c r="M120" s="469">
        <v>116</v>
      </c>
      <c r="N120" s="473"/>
      <c r="O120" s="473"/>
      <c r="P120" s="474"/>
      <c r="Q120" s="381"/>
      <c r="R120" s="380"/>
      <c r="S120" s="381"/>
      <c r="T120" s="106"/>
      <c r="U120" s="107"/>
      <c r="W120" s="377">
        <v>0</v>
      </c>
    </row>
    <row r="121" spans="1:23" ht="13.5" customHeight="1">
      <c r="A121" s="477">
        <v>42</v>
      </c>
      <c r="B121" s="478" t="s">
        <v>61</v>
      </c>
      <c r="C121" s="378" t="s">
        <v>365</v>
      </c>
      <c r="D121" s="387">
        <f>VLOOKUP(A121,'Evento Cotiz'!$W$49:$Y$455,3,FALSE)</f>
        <v>0</v>
      </c>
      <c r="E121" s="422">
        <f>VLOOKUP(A121,'Evento Cotiz'!$A$49:$T$459,12,FALSE)</f>
        <v>5068.4063999999998</v>
      </c>
      <c r="F121" s="427">
        <f>VLOOKUP(A121,'Evento Cotiz'!$A$49:$T$459,13,FALSE)</f>
        <v>3089.3456000000001</v>
      </c>
      <c r="G121" s="428">
        <f>Tabla1[[#This Row],[Cantidad]]*Tabla1[[#This Row],[P Piso]]</f>
        <v>0</v>
      </c>
      <c r="H121" s="433">
        <f>Tabla1[[#This Row],[P Piso]]-(Tabla1[[#This Row],[P Piso]]*20%)</f>
        <v>2471.4764800000003</v>
      </c>
      <c r="I121" s="434">
        <f>IF((1-(Tabla1[[#This Row],[P Piso-20%]]/Tabla1[[#This Row],[P Oferta]]))=1,0,1-(Tabla1[[#This Row],[P Piso-20%]]/Tabla1[[#This Row],[P Oferta]]))</f>
        <v>0.51237602414833971</v>
      </c>
      <c r="J121" s="439">
        <f>Tabla1[[#This Row],[P Piso]]-(Tabla1[[#This Row],[P Piso]]*25%)</f>
        <v>2317.0092</v>
      </c>
      <c r="K121" s="440">
        <f>IF((1-(Tabla1[[#This Row],[P Piso-25%]]/Tabla1[[#This Row],[P Oferta]]))=1,0,1-(Tabla1[[#This Row],[P Piso-25%]]/Tabla1[[#This Row],[P Oferta]]))</f>
        <v>0.54285252263906858</v>
      </c>
      <c r="L121" s="379"/>
      <c r="M121" s="469">
        <v>117</v>
      </c>
      <c r="N121" s="473"/>
      <c r="O121" s="473"/>
      <c r="P121" s="474"/>
      <c r="Q121" s="381"/>
      <c r="R121" s="380"/>
      <c r="S121" s="381"/>
      <c r="T121" s="106"/>
      <c r="U121" s="107"/>
      <c r="W121" s="377">
        <v>0</v>
      </c>
    </row>
    <row r="122" spans="1:23" ht="13.5" customHeight="1">
      <c r="A122" s="477">
        <v>43</v>
      </c>
      <c r="B122" s="478" t="s">
        <v>62</v>
      </c>
      <c r="C122" s="378" t="s">
        <v>365</v>
      </c>
      <c r="D122" s="387">
        <f>VLOOKUP(A122,'Evento Cotiz'!$W$49:$Y$455,3,FALSE)</f>
        <v>0</v>
      </c>
      <c r="E122" s="422">
        <f>VLOOKUP(A122,'Evento Cotiz'!$A$49:$T$459,12,FALSE)</f>
        <v>15105.7744</v>
      </c>
      <c r="F122" s="427">
        <f>VLOOKUP(A122,'Evento Cotiz'!$A$49:$T$459,13,FALSE)</f>
        <v>4449.8815999999997</v>
      </c>
      <c r="G122" s="428">
        <f>Tabla1[[#This Row],[Cantidad]]*Tabla1[[#This Row],[P Piso]]</f>
        <v>0</v>
      </c>
      <c r="H122" s="433">
        <f>Tabla1[[#This Row],[P Piso]]-(Tabla1[[#This Row],[P Piso]]*20%)</f>
        <v>3559.9052799999999</v>
      </c>
      <c r="I122" s="434">
        <f>IF((1-(Tabla1[[#This Row],[P Piso-20%]]/Tabla1[[#This Row],[P Oferta]]))=1,0,1-(Tabla1[[#This Row],[P Piso-20%]]/Tabla1[[#This Row],[P Oferta]]))</f>
        <v>0.76433480431165446</v>
      </c>
      <c r="J122" s="439">
        <f>Tabla1[[#This Row],[P Piso]]-(Tabla1[[#This Row],[P Piso]]*25%)</f>
        <v>3337.4111999999996</v>
      </c>
      <c r="K122" s="440">
        <f>IF((1-(Tabla1[[#This Row],[P Piso-25%]]/Tabla1[[#This Row],[P Oferta]]))=1,0,1-(Tabla1[[#This Row],[P Piso-25%]]/Tabla1[[#This Row],[P Oferta]]))</f>
        <v>0.77906387904217611</v>
      </c>
      <c r="L122" s="379"/>
      <c r="M122" s="469">
        <v>118</v>
      </c>
      <c r="N122" s="473"/>
      <c r="O122" s="473"/>
      <c r="P122" s="474"/>
      <c r="Q122" s="381"/>
      <c r="R122" s="380"/>
      <c r="S122" s="381"/>
      <c r="T122" s="106"/>
      <c r="U122" s="107"/>
      <c r="W122" s="377">
        <v>0</v>
      </c>
    </row>
    <row r="123" spans="1:23">
      <c r="A123" s="477">
        <v>44</v>
      </c>
      <c r="B123" s="478" t="s">
        <v>63</v>
      </c>
      <c r="C123" s="378" t="s">
        <v>365</v>
      </c>
      <c r="D123" s="387">
        <f>VLOOKUP(A123,'Evento Cotiz'!$W$49:$Y$455,3,FALSE)</f>
        <v>0</v>
      </c>
      <c r="E123" s="422">
        <f>VLOOKUP(A123,'Evento Cotiz'!$A$49:$T$459,12,FALSE)</f>
        <v>44168.790399999998</v>
      </c>
      <c r="F123" s="427">
        <f>VLOOKUP(A123,'Evento Cotiz'!$A$49:$T$459,13,FALSE)</f>
        <v>19276.991999999998</v>
      </c>
      <c r="G123" s="428">
        <f>Tabla1[[#This Row],[Cantidad]]*Tabla1[[#This Row],[P Piso]]</f>
        <v>0</v>
      </c>
      <c r="H123" s="433">
        <f>Tabla1[[#This Row],[P Piso]]-(Tabla1[[#This Row],[P Piso]]*20%)</f>
        <v>15421.593599999998</v>
      </c>
      <c r="I123" s="434">
        <f>IF((1-(Tabla1[[#This Row],[P Piso-20%]]/Tabla1[[#This Row],[P Oferta]]))=1,0,1-(Tabla1[[#This Row],[P Piso-20%]]/Tabla1[[#This Row],[P Oferta]]))</f>
        <v>0.65084863179771391</v>
      </c>
      <c r="J123" s="439">
        <f>Tabla1[[#This Row],[P Piso]]-(Tabla1[[#This Row],[P Piso]]*25%)</f>
        <v>14457.743999999999</v>
      </c>
      <c r="K123" s="440">
        <f>IF((1-(Tabla1[[#This Row],[P Piso-25%]]/Tabla1[[#This Row],[P Oferta]]))=1,0,1-(Tabla1[[#This Row],[P Piso-25%]]/Tabla1[[#This Row],[P Oferta]]))</f>
        <v>0.67267059231035686</v>
      </c>
      <c r="M123" s="469">
        <v>119</v>
      </c>
      <c r="N123" s="473"/>
      <c r="O123" s="473"/>
      <c r="P123" s="474"/>
      <c r="Q123" s="381"/>
      <c r="R123" s="380"/>
      <c r="S123" s="381"/>
      <c r="T123" s="106"/>
      <c r="U123" s="107"/>
      <c r="W123" s="377">
        <v>10</v>
      </c>
    </row>
    <row r="124" spans="1:23">
      <c r="A124" s="477">
        <v>46</v>
      </c>
      <c r="B124" s="478" t="s">
        <v>65</v>
      </c>
      <c r="C124" s="378" t="s">
        <v>365</v>
      </c>
      <c r="D124" s="387">
        <f>VLOOKUP(A124,'Evento Cotiz'!$W$49:$Y$455,3,FALSE)</f>
        <v>0</v>
      </c>
      <c r="E124" s="422">
        <f>VLOOKUP(A124,'Evento Cotiz'!$A$49:$T$459,12,FALSE)</f>
        <v>16713.283199999998</v>
      </c>
      <c r="F124" s="427">
        <f>VLOOKUP(A124,'Evento Cotiz'!$A$49:$T$459,13,FALSE)</f>
        <v>8030.9871999999996</v>
      </c>
      <c r="G124" s="428">
        <f>Tabla1[[#This Row],[Cantidad]]*Tabla1[[#This Row],[P Piso]]</f>
        <v>0</v>
      </c>
      <c r="H124" s="433">
        <f>Tabla1[[#This Row],[P Piso]]-(Tabla1[[#This Row],[P Piso]]*20%)</f>
        <v>6424.7897599999997</v>
      </c>
      <c r="I124" s="434">
        <f>IF((1-(Tabla1[[#This Row],[P Piso-20%]]/Tabla1[[#This Row],[P Oferta]]))=1,0,1-(Tabla1[[#This Row],[P Piso-20%]]/Tabla1[[#This Row],[P Oferta]]))</f>
        <v>0.6155878122139401</v>
      </c>
      <c r="J124" s="439">
        <f>Tabla1[[#This Row],[P Piso]]-(Tabla1[[#This Row],[P Piso]]*25%)</f>
        <v>6023.2403999999997</v>
      </c>
      <c r="K124" s="440">
        <f>IF((1-(Tabla1[[#This Row],[P Piso-25%]]/Tabla1[[#This Row],[P Oferta]]))=1,0,1-(Tabla1[[#This Row],[P Piso-25%]]/Tabla1[[#This Row],[P Oferta]]))</f>
        <v>0.63961357395056884</v>
      </c>
      <c r="L124" s="416"/>
      <c r="M124" s="469">
        <v>120</v>
      </c>
      <c r="N124" s="473"/>
      <c r="O124" s="473"/>
      <c r="P124" s="474"/>
      <c r="Q124" s="381"/>
      <c r="R124" s="380"/>
      <c r="S124" s="381"/>
      <c r="T124" s="106"/>
      <c r="U124" s="107"/>
      <c r="W124" s="377">
        <v>10</v>
      </c>
    </row>
    <row r="125" spans="1:23" ht="13.5" customHeight="1">
      <c r="A125" s="477">
        <v>47</v>
      </c>
      <c r="B125" s="478" t="s">
        <v>66</v>
      </c>
      <c r="C125" s="378" t="s">
        <v>365</v>
      </c>
      <c r="D125" s="387">
        <f>VLOOKUP(A125,'Evento Cotiz'!$W$49:$Y$455,3,FALSE)</f>
        <v>0</v>
      </c>
      <c r="E125" s="422">
        <f>VLOOKUP(A125,'Evento Cotiz'!$A$49:$T$459,12,FALSE)</f>
        <v>68892.297600000005</v>
      </c>
      <c r="F125" s="427">
        <f>VLOOKUP(A125,'Evento Cotiz'!$A$49:$T$459,13,FALSE)</f>
        <v>14869.729600000001</v>
      </c>
      <c r="G125" s="428">
        <f>Tabla1[[#This Row],[Cantidad]]*Tabla1[[#This Row],[P Piso]]</f>
        <v>0</v>
      </c>
      <c r="H125" s="433">
        <f>Tabla1[[#This Row],[P Piso]]-(Tabla1[[#This Row],[P Piso]]*20%)</f>
        <v>11895.78368</v>
      </c>
      <c r="I125" s="434">
        <f>IF((1-(Tabla1[[#This Row],[P Piso-20%]]/Tabla1[[#This Row],[P Oferta]]))=1,0,1-(Tabla1[[#This Row],[P Piso-20%]]/Tabla1[[#This Row],[P Oferta]]))</f>
        <v>0.82732781320389581</v>
      </c>
      <c r="J125" s="439">
        <f>Tabla1[[#This Row],[P Piso]]-(Tabla1[[#This Row],[P Piso]]*25%)</f>
        <v>11152.297200000001</v>
      </c>
      <c r="K125" s="440">
        <f>IF((1-(Tabla1[[#This Row],[P Piso-25%]]/Tabla1[[#This Row],[P Oferta]]))=1,0,1-(Tabla1[[#This Row],[P Piso-25%]]/Tabla1[[#This Row],[P Oferta]]))</f>
        <v>0.83811982487865233</v>
      </c>
      <c r="L125" s="379"/>
      <c r="M125" s="469">
        <v>121</v>
      </c>
      <c r="N125" s="473"/>
      <c r="O125" s="473"/>
      <c r="P125" s="474"/>
      <c r="Q125" s="381"/>
      <c r="R125" s="380"/>
      <c r="S125" s="381"/>
      <c r="T125" s="106"/>
      <c r="U125" s="107"/>
      <c r="W125" s="377">
        <v>0</v>
      </c>
    </row>
    <row r="126" spans="1:23" ht="13.5" customHeight="1">
      <c r="A126" s="477">
        <v>49</v>
      </c>
      <c r="B126" s="478" t="s">
        <v>68</v>
      </c>
      <c r="C126" s="378" t="s">
        <v>365</v>
      </c>
      <c r="D126" s="387">
        <f>VLOOKUP(A126,'Evento Cotiz'!$W$49:$Y$455,3,FALSE)</f>
        <v>0</v>
      </c>
      <c r="E126" s="422">
        <f>VLOOKUP(A126,'Evento Cotiz'!$A$49:$T$459,12,FALSE)</f>
        <v>30669.432000000001</v>
      </c>
      <c r="F126" s="427">
        <f>VLOOKUP(A126,'Evento Cotiz'!$A$49:$T$459,13,FALSE)</f>
        <v>18357.947199999999</v>
      </c>
      <c r="G126" s="428">
        <f>Tabla1[[#This Row],[Cantidad]]*Tabla1[[#This Row],[P Piso]]</f>
        <v>0</v>
      </c>
      <c r="H126" s="433">
        <f>Tabla1[[#This Row],[P Piso]]-(Tabla1[[#This Row],[P Piso]]*20%)</f>
        <v>14686.357759999999</v>
      </c>
      <c r="I126" s="434">
        <f>IF((1-(Tabla1[[#This Row],[P Piso-20%]]/Tabla1[[#This Row],[P Oferta]]))=1,0,1-(Tabla1[[#This Row],[P Piso-20%]]/Tabla1[[#This Row],[P Oferta]]))</f>
        <v>0.52114021022626056</v>
      </c>
      <c r="J126" s="439">
        <f>Tabla1[[#This Row],[P Piso]]-(Tabla1[[#This Row],[P Piso]]*25%)</f>
        <v>13768.4604</v>
      </c>
      <c r="K126" s="440">
        <f>IF((1-(Tabla1[[#This Row],[P Piso-25%]]/Tabla1[[#This Row],[P Oferta]]))=1,0,1-(Tabla1[[#This Row],[P Piso-25%]]/Tabla1[[#This Row],[P Oferta]]))</f>
        <v>0.55106894708711918</v>
      </c>
      <c r="L126" s="379"/>
      <c r="M126" s="469">
        <v>122</v>
      </c>
      <c r="N126" s="473"/>
      <c r="O126" s="473"/>
      <c r="P126" s="474"/>
      <c r="Q126" s="381"/>
      <c r="R126" s="380"/>
      <c r="S126" s="381"/>
      <c r="T126" s="106"/>
      <c r="U126" s="107"/>
      <c r="W126" s="377">
        <v>0</v>
      </c>
    </row>
    <row r="127" spans="1:23" ht="13.5" customHeight="1">
      <c r="A127" s="477">
        <v>53</v>
      </c>
      <c r="B127" s="478" t="s">
        <v>72</v>
      </c>
      <c r="C127" s="378" t="s">
        <v>365</v>
      </c>
      <c r="D127" s="387">
        <f>VLOOKUP(A127,'Evento Cotiz'!$W$49:$Y$455,3,FALSE)</f>
        <v>0</v>
      </c>
      <c r="E127" s="422">
        <f>VLOOKUP(A127,'Evento Cotiz'!$A$49:$T$459,12,FALSE)</f>
        <v>86779.247999999992</v>
      </c>
      <c r="F127" s="427">
        <f>VLOOKUP(A127,'Evento Cotiz'!$A$49:$T$459,13,FALSE)</f>
        <v>10524.756799999999</v>
      </c>
      <c r="G127" s="428">
        <f>Tabla1[[#This Row],[Cantidad]]*Tabla1[[#This Row],[P Piso]]</f>
        <v>0</v>
      </c>
      <c r="H127" s="433">
        <f>Tabla1[[#This Row],[P Piso]]-(Tabla1[[#This Row],[P Piso]]*20%)</f>
        <v>8419.8054400000001</v>
      </c>
      <c r="I127" s="434">
        <f>IF((1-(Tabla1[[#This Row],[P Piso-20%]]/Tabla1[[#This Row],[P Oferta]]))=1,0,1-(Tabla1[[#This Row],[P Piso-20%]]/Tabla1[[#This Row],[P Oferta]]))</f>
        <v>0.90297443646895859</v>
      </c>
      <c r="J127" s="439">
        <f>Tabla1[[#This Row],[P Piso]]-(Tabla1[[#This Row],[P Piso]]*25%)</f>
        <v>7893.5675999999994</v>
      </c>
      <c r="K127" s="440">
        <f>IF((1-(Tabla1[[#This Row],[P Piso-25%]]/Tabla1[[#This Row],[P Oferta]]))=1,0,1-(Tabla1[[#This Row],[P Piso-25%]]/Tabla1[[#This Row],[P Oferta]]))</f>
        <v>0.90903853418964864</v>
      </c>
      <c r="L127" s="379"/>
      <c r="M127" s="469">
        <v>123</v>
      </c>
      <c r="N127" s="473"/>
      <c r="O127" s="473"/>
      <c r="P127" s="474"/>
      <c r="Q127" s="381"/>
      <c r="R127" s="380"/>
      <c r="S127" s="381"/>
      <c r="T127" s="106"/>
      <c r="U127" s="107"/>
      <c r="W127" s="377">
        <v>0</v>
      </c>
    </row>
    <row r="128" spans="1:23" ht="13.5" customHeight="1">
      <c r="A128" s="477">
        <v>55</v>
      </c>
      <c r="B128" s="478" t="s">
        <v>74</v>
      </c>
      <c r="C128" s="378" t="s">
        <v>365</v>
      </c>
      <c r="D128" s="387">
        <f>VLOOKUP(A128,'Evento Cotiz'!$W$49:$Y$455,3,FALSE)</f>
        <v>0</v>
      </c>
      <c r="E128" s="422">
        <f>VLOOKUP(A128,'Evento Cotiz'!$A$49:$T$459,12,FALSE)</f>
        <v>44304.297599999998</v>
      </c>
      <c r="F128" s="427">
        <f>VLOOKUP(A128,'Evento Cotiz'!$A$49:$T$459,13,FALSE)</f>
        <v>16272.8848</v>
      </c>
      <c r="G128" s="428">
        <f>Tabla1[[#This Row],[Cantidad]]*Tabla1[[#This Row],[P Piso]]</f>
        <v>0</v>
      </c>
      <c r="H128" s="433">
        <f>Tabla1[[#This Row],[P Piso]]-(Tabla1[[#This Row],[P Piso]]*20%)</f>
        <v>13018.307839999999</v>
      </c>
      <c r="I128" s="434">
        <f>IF((1-(Tabla1[[#This Row],[P Piso-20%]]/Tabla1[[#This Row],[P Oferta]]))=1,0,1-(Tabla1[[#This Row],[P Piso-20%]]/Tabla1[[#This Row],[P Oferta]]))</f>
        <v>0.70616151151891859</v>
      </c>
      <c r="J128" s="439">
        <f>Tabla1[[#This Row],[P Piso]]-(Tabla1[[#This Row],[P Piso]]*25%)</f>
        <v>12204.6636</v>
      </c>
      <c r="K128" s="440">
        <f>IF((1-(Tabla1[[#This Row],[P Piso-25%]]/Tabla1[[#This Row],[P Oferta]]))=1,0,1-(Tabla1[[#This Row],[P Piso-25%]]/Tabla1[[#This Row],[P Oferta]]))</f>
        <v>0.72452641704898624</v>
      </c>
      <c r="L128" s="379"/>
      <c r="M128" s="469">
        <v>124</v>
      </c>
      <c r="N128" s="473"/>
      <c r="O128" s="473"/>
      <c r="P128" s="474"/>
      <c r="Q128" s="381"/>
      <c r="R128" s="380"/>
      <c r="S128" s="381"/>
      <c r="T128" s="106"/>
      <c r="U128" s="107"/>
      <c r="W128" s="377">
        <v>0</v>
      </c>
    </row>
    <row r="129" spans="1:23" ht="13.5" customHeight="1">
      <c r="A129" s="477">
        <v>57</v>
      </c>
      <c r="B129" s="478" t="s">
        <v>76</v>
      </c>
      <c r="C129" s="378" t="s">
        <v>365</v>
      </c>
      <c r="D129" s="387">
        <f>VLOOKUP(A129,'Evento Cotiz'!$W$49:$Y$455,3,FALSE)</f>
        <v>0</v>
      </c>
      <c r="E129" s="422">
        <f>VLOOKUP(A129,'Evento Cotiz'!$A$49:$T$459,12,FALSE)</f>
        <v>14921.091199999999</v>
      </c>
      <c r="F129" s="427">
        <f>VLOOKUP(A129,'Evento Cotiz'!$A$49:$T$459,13,FALSE)</f>
        <v>7169.8608000000004</v>
      </c>
      <c r="G129" s="428">
        <f>Tabla1[[#This Row],[Cantidad]]*Tabla1[[#This Row],[P Piso]]</f>
        <v>0</v>
      </c>
      <c r="H129" s="433">
        <f>Tabla1[[#This Row],[P Piso]]-(Tabla1[[#This Row],[P Piso]]*20%)</f>
        <v>5735.8886400000001</v>
      </c>
      <c r="I129" s="434">
        <f>IF((1-(Tabla1[[#This Row],[P Piso-20%]]/Tabla1[[#This Row],[P Oferta]]))=1,0,1-(Tabla1[[#This Row],[P Piso-20%]]/Tabla1[[#This Row],[P Oferta]]))</f>
        <v>0.61558517650505351</v>
      </c>
      <c r="J129" s="439">
        <f>Tabla1[[#This Row],[P Piso]]-(Tabla1[[#This Row],[P Piso]]*25%)</f>
        <v>5377.3955999999998</v>
      </c>
      <c r="K129" s="440">
        <f>IF((1-(Tabla1[[#This Row],[P Piso-25%]]/Tabla1[[#This Row],[P Oferta]]))=1,0,1-(Tabla1[[#This Row],[P Piso-25%]]/Tabla1[[#This Row],[P Oferta]]))</f>
        <v>0.63961110297348767</v>
      </c>
      <c r="L129" s="379"/>
      <c r="M129" s="469">
        <v>125</v>
      </c>
      <c r="N129" s="473"/>
      <c r="O129" s="473"/>
      <c r="P129" s="474"/>
      <c r="Q129" s="381"/>
      <c r="R129" s="380"/>
      <c r="S129" s="381"/>
      <c r="T129" s="106"/>
      <c r="U129" s="107"/>
      <c r="W129" s="377">
        <v>0</v>
      </c>
    </row>
    <row r="130" spans="1:23" ht="13.5" customHeight="1">
      <c r="A130" s="477">
        <v>58</v>
      </c>
      <c r="B130" s="478" t="s">
        <v>77</v>
      </c>
      <c r="C130" s="378" t="s">
        <v>365</v>
      </c>
      <c r="D130" s="387">
        <f>VLOOKUP(A130,'Evento Cotiz'!$W$49:$Y$455,3,FALSE)</f>
        <v>0</v>
      </c>
      <c r="E130" s="422">
        <f>VLOOKUP(A130,'Evento Cotiz'!$A$49:$T$459,12,FALSE)</f>
        <v>44082.459199999998</v>
      </c>
      <c r="F130" s="427">
        <f>VLOOKUP(A130,'Evento Cotiz'!$A$49:$T$459,13,FALSE)</f>
        <v>7857.232</v>
      </c>
      <c r="G130" s="428">
        <f>Tabla1[[#This Row],[Cantidad]]*Tabla1[[#This Row],[P Piso]]</f>
        <v>0</v>
      </c>
      <c r="H130" s="433">
        <f>Tabla1[[#This Row],[P Piso]]-(Tabla1[[#This Row],[P Piso]]*20%)</f>
        <v>6285.7856000000002</v>
      </c>
      <c r="I130" s="434">
        <f>IF((1-(Tabla1[[#This Row],[P Piso-20%]]/Tabla1[[#This Row],[P Oferta]]))=1,0,1-(Tabla1[[#This Row],[P Piso-20%]]/Tabla1[[#This Row],[P Oferta]]))</f>
        <v>0.85740846327375486</v>
      </c>
      <c r="J130" s="439">
        <f>Tabla1[[#This Row],[P Piso]]-(Tabla1[[#This Row],[P Piso]]*25%)</f>
        <v>5892.924</v>
      </c>
      <c r="K130" s="440">
        <f>IF((1-(Tabla1[[#This Row],[P Piso-25%]]/Tabla1[[#This Row],[P Oferta]]))=1,0,1-(Tabla1[[#This Row],[P Piso-25%]]/Tabla1[[#This Row],[P Oferta]]))</f>
        <v>0.86632043431914529</v>
      </c>
      <c r="L130" s="379"/>
      <c r="M130" s="469">
        <v>126</v>
      </c>
      <c r="N130" s="473"/>
      <c r="O130" s="473"/>
      <c r="P130" s="474"/>
      <c r="Q130" s="381"/>
      <c r="R130" s="380"/>
      <c r="S130" s="381"/>
      <c r="T130" s="106"/>
      <c r="U130" s="107"/>
      <c r="W130" s="377">
        <v>0</v>
      </c>
    </row>
    <row r="131" spans="1:23" ht="13.5" customHeight="1">
      <c r="A131" s="477">
        <v>59</v>
      </c>
      <c r="B131" s="478" t="s">
        <v>78</v>
      </c>
      <c r="C131" s="378" t="s">
        <v>365</v>
      </c>
      <c r="D131" s="387">
        <f>VLOOKUP(A131,'Evento Cotiz'!$W$49:$Y$455,3,FALSE)</f>
        <v>0</v>
      </c>
      <c r="E131" s="422">
        <f>VLOOKUP(A131,'Evento Cotiz'!$A$49:$T$459,12,FALSE)</f>
        <v>19827.763200000001</v>
      </c>
      <c r="F131" s="427">
        <f>VLOOKUP(A131,'Evento Cotiz'!$A$49:$T$459,13,FALSE)</f>
        <v>4978.7968000000001</v>
      </c>
      <c r="G131" s="428">
        <f>Tabla1[[#This Row],[Cantidad]]*Tabla1[[#This Row],[P Piso]]</f>
        <v>0</v>
      </c>
      <c r="H131" s="433">
        <f>Tabla1[[#This Row],[P Piso]]-(Tabla1[[#This Row],[P Piso]]*20%)</f>
        <v>3983.0374400000001</v>
      </c>
      <c r="I131" s="434">
        <f>IF((1-(Tabla1[[#This Row],[P Piso-20%]]/Tabla1[[#This Row],[P Oferta]]))=1,0,1-(Tabla1[[#This Row],[P Piso-20%]]/Tabla1[[#This Row],[P Oferta]]))</f>
        <v>0.79911816578483252</v>
      </c>
      <c r="J131" s="439">
        <f>Tabla1[[#This Row],[P Piso]]-(Tabla1[[#This Row],[P Piso]]*25%)</f>
        <v>3734.0976000000001</v>
      </c>
      <c r="K131" s="440">
        <f>IF((1-(Tabla1[[#This Row],[P Piso-25%]]/Tabla1[[#This Row],[P Oferta]]))=1,0,1-(Tabla1[[#This Row],[P Piso-25%]]/Tabla1[[#This Row],[P Oferta]]))</f>
        <v>0.81167328042328046</v>
      </c>
      <c r="L131" s="379"/>
      <c r="M131" s="469">
        <v>127</v>
      </c>
      <c r="N131" s="473"/>
      <c r="O131" s="473"/>
      <c r="P131" s="474"/>
      <c r="Q131" s="381"/>
      <c r="R131" s="380"/>
      <c r="S131" s="381"/>
      <c r="T131" s="106"/>
      <c r="U131" s="107"/>
      <c r="W131" s="377">
        <v>0</v>
      </c>
    </row>
    <row r="132" spans="1:23" ht="13.5" customHeight="1">
      <c r="A132" s="477">
        <v>61</v>
      </c>
      <c r="B132" s="478" t="s">
        <v>80</v>
      </c>
      <c r="C132" s="378" t="s">
        <v>365</v>
      </c>
      <c r="D132" s="387">
        <f>VLOOKUP(A132,'Evento Cotiz'!$W$49:$Y$455,3,FALSE)</f>
        <v>0</v>
      </c>
      <c r="E132" s="422">
        <f>VLOOKUP(A132,'Evento Cotiz'!$A$49:$T$459,12,FALSE)</f>
        <v>15773.475200000001</v>
      </c>
      <c r="F132" s="427">
        <f>VLOOKUP(A132,'Evento Cotiz'!$A$49:$T$459,13,FALSE)</f>
        <v>8035.3584000000001</v>
      </c>
      <c r="G132" s="428">
        <f>Tabla1[[#This Row],[Cantidad]]*Tabla1[[#This Row],[P Piso]]</f>
        <v>0</v>
      </c>
      <c r="H132" s="433">
        <f>Tabla1[[#This Row],[P Piso]]-(Tabla1[[#This Row],[P Piso]]*20%)</f>
        <v>6428.2867200000001</v>
      </c>
      <c r="I132" s="434">
        <f>IF((1-(Tabla1[[#This Row],[P Piso-20%]]/Tabla1[[#This Row],[P Oferta]]))=1,0,1-(Tabla1[[#This Row],[P Piso-20%]]/Tabla1[[#This Row],[P Oferta]]))</f>
        <v>0.59246224192877928</v>
      </c>
      <c r="J132" s="439">
        <f>Tabla1[[#This Row],[P Piso]]-(Tabla1[[#This Row],[P Piso]]*25%)</f>
        <v>6026.5187999999998</v>
      </c>
      <c r="K132" s="440">
        <f>IF((1-(Tabla1[[#This Row],[P Piso-25%]]/Tabla1[[#This Row],[P Oferta]]))=1,0,1-(Tabla1[[#This Row],[P Piso-25%]]/Tabla1[[#This Row],[P Oferta]]))</f>
        <v>0.61793335180823061</v>
      </c>
      <c r="L132" s="379"/>
      <c r="M132" s="469">
        <v>128</v>
      </c>
      <c r="N132" s="473"/>
      <c r="O132" s="473"/>
      <c r="P132" s="474"/>
      <c r="Q132" s="381"/>
      <c r="R132" s="380"/>
      <c r="S132" s="381"/>
      <c r="T132" s="106"/>
      <c r="U132" s="107"/>
      <c r="W132" s="377">
        <v>0</v>
      </c>
    </row>
    <row r="133" spans="1:23" ht="13.5" customHeight="1">
      <c r="A133" s="477">
        <v>62</v>
      </c>
      <c r="B133" s="478" t="s">
        <v>81</v>
      </c>
      <c r="C133" s="378" t="s">
        <v>365</v>
      </c>
      <c r="D133" s="387">
        <f>VLOOKUP(A133,'Evento Cotiz'!$W$49:$Y$455,3,FALSE)</f>
        <v>0</v>
      </c>
      <c r="E133" s="422">
        <f>VLOOKUP(A133,'Evento Cotiz'!$A$49:$T$459,12,FALSE)</f>
        <v>23845.988799999999</v>
      </c>
      <c r="F133" s="427">
        <f>VLOOKUP(A133,'Evento Cotiz'!$A$49:$T$459,13,FALSE)</f>
        <v>10136.8128</v>
      </c>
      <c r="G133" s="428">
        <f>Tabla1[[#This Row],[Cantidad]]*Tabla1[[#This Row],[P Piso]]</f>
        <v>0</v>
      </c>
      <c r="H133" s="433">
        <f>Tabla1[[#This Row],[P Piso]]-(Tabla1[[#This Row],[P Piso]]*20%)</f>
        <v>8109.4502400000001</v>
      </c>
      <c r="I133" s="434">
        <f>IF((1-(Tabla1[[#This Row],[P Piso-20%]]/Tabla1[[#This Row],[P Oferta]]))=1,0,1-(Tabla1[[#This Row],[P Piso-20%]]/Tabla1[[#This Row],[P Oferta]]))</f>
        <v>0.65992392649282805</v>
      </c>
      <c r="J133" s="439">
        <f>Tabla1[[#This Row],[P Piso]]-(Tabla1[[#This Row],[P Piso]]*25%)</f>
        <v>7602.6095999999998</v>
      </c>
      <c r="K133" s="440">
        <f>IF((1-(Tabla1[[#This Row],[P Piso-25%]]/Tabla1[[#This Row],[P Oferta]]))=1,0,1-(Tabla1[[#This Row],[P Piso-25%]]/Tabla1[[#This Row],[P Oferta]]))</f>
        <v>0.68117868108702628</v>
      </c>
      <c r="L133" s="379"/>
      <c r="M133" s="469">
        <v>129</v>
      </c>
      <c r="N133" s="473"/>
      <c r="O133" s="473"/>
      <c r="P133" s="474"/>
      <c r="Q133" s="381"/>
      <c r="R133" s="380"/>
      <c r="S133" s="381"/>
      <c r="T133" s="106"/>
      <c r="U133" s="107"/>
      <c r="W133" s="377">
        <v>0</v>
      </c>
    </row>
    <row r="134" spans="1:23">
      <c r="A134" s="477">
        <v>63</v>
      </c>
      <c r="B134" s="478" t="s">
        <v>82</v>
      </c>
      <c r="C134" s="378" t="s">
        <v>365</v>
      </c>
      <c r="D134" s="387">
        <f>VLOOKUP(A134,'Evento Cotiz'!$W$49:$Y$455,3,FALSE)</f>
        <v>0</v>
      </c>
      <c r="E134" s="422">
        <f>VLOOKUP(A134,'Evento Cotiz'!$A$49:$T$459,12,FALSE)</f>
        <v>25626.16</v>
      </c>
      <c r="F134" s="427">
        <f>VLOOKUP(A134,'Evento Cotiz'!$A$49:$T$459,13,FALSE)</f>
        <v>11560.7312</v>
      </c>
      <c r="G134" s="428">
        <f>Tabla1[[#This Row],[Cantidad]]*Tabla1[[#This Row],[P Piso]]</f>
        <v>0</v>
      </c>
      <c r="H134" s="433">
        <f>Tabla1[[#This Row],[P Piso]]-(Tabla1[[#This Row],[P Piso]]*20%)</f>
        <v>9248.5849600000001</v>
      </c>
      <c r="I134" s="434">
        <f>IF((1-(Tabla1[[#This Row],[P Piso-20%]]/Tabla1[[#This Row],[P Oferta]]))=1,0,1-(Tabla1[[#This Row],[P Piso-20%]]/Tabla1[[#This Row],[P Oferta]]))</f>
        <v>0.63909594882729204</v>
      </c>
      <c r="J134" s="439">
        <f>Tabla1[[#This Row],[P Piso]]-(Tabla1[[#This Row],[P Piso]]*25%)</f>
        <v>8670.5483999999997</v>
      </c>
      <c r="K134" s="440">
        <f>IF((1-(Tabla1[[#This Row],[P Piso-25%]]/Tabla1[[#This Row],[P Oferta]]))=1,0,1-(Tabla1[[#This Row],[P Piso-25%]]/Tabla1[[#This Row],[P Oferta]]))</f>
        <v>0.66165245202558642</v>
      </c>
      <c r="L134" s="379"/>
      <c r="M134" s="469">
        <v>130</v>
      </c>
      <c r="N134" s="473"/>
      <c r="O134" s="473"/>
      <c r="P134" s="474"/>
      <c r="Q134" s="381"/>
      <c r="R134" s="380"/>
      <c r="S134" s="381"/>
      <c r="T134" s="106"/>
      <c r="U134" s="107"/>
      <c r="W134" s="377">
        <v>4</v>
      </c>
    </row>
    <row r="135" spans="1:23" ht="13.5" customHeight="1">
      <c r="A135" s="477">
        <v>65</v>
      </c>
      <c r="B135" s="478" t="s">
        <v>84</v>
      </c>
      <c r="C135" s="378" t="s">
        <v>365</v>
      </c>
      <c r="D135" s="387">
        <f>VLOOKUP(A135,'Evento Cotiz'!$W$49:$Y$455,3,FALSE)</f>
        <v>0</v>
      </c>
      <c r="E135" s="422">
        <f>VLOOKUP(A135,'Evento Cotiz'!$A$49:$T$459,12,FALSE)</f>
        <v>17639.977599999998</v>
      </c>
      <c r="F135" s="427">
        <f>VLOOKUP(A135,'Evento Cotiz'!$A$49:$T$459,13,FALSE)</f>
        <v>1545.2192</v>
      </c>
      <c r="G135" s="428">
        <f>Tabla1[[#This Row],[Cantidad]]*Tabla1[[#This Row],[P Piso]]</f>
        <v>0</v>
      </c>
      <c r="H135" s="433">
        <f>Tabla1[[#This Row],[P Piso]]-(Tabla1[[#This Row],[P Piso]]*20%)</f>
        <v>1236.17536</v>
      </c>
      <c r="I135" s="434">
        <f>IF((1-(Tabla1[[#This Row],[P Piso-20%]]/Tabla1[[#This Row],[P Oferta]]))=1,0,1-(Tabla1[[#This Row],[P Piso-20%]]/Tabla1[[#This Row],[P Oferta]]))</f>
        <v>0.92992194275802254</v>
      </c>
      <c r="J135" s="439">
        <f>Tabla1[[#This Row],[P Piso]]-(Tabla1[[#This Row],[P Piso]]*25%)</f>
        <v>1158.9144000000001</v>
      </c>
      <c r="K135" s="440">
        <f>IF((1-(Tabla1[[#This Row],[P Piso-25%]]/Tabla1[[#This Row],[P Oferta]]))=1,0,1-(Tabla1[[#This Row],[P Piso-25%]]/Tabla1[[#This Row],[P Oferta]]))</f>
        <v>0.9343018213356461</v>
      </c>
      <c r="L135" s="379"/>
      <c r="M135" s="469">
        <v>131</v>
      </c>
      <c r="N135" s="473"/>
      <c r="O135" s="473"/>
      <c r="P135" s="474"/>
      <c r="Q135" s="381"/>
      <c r="R135" s="380"/>
      <c r="S135" s="381"/>
      <c r="T135" s="106"/>
      <c r="U135" s="107"/>
      <c r="W135" s="377">
        <v>0</v>
      </c>
    </row>
    <row r="136" spans="1:23" ht="13.5" customHeight="1">
      <c r="A136" s="477">
        <v>67</v>
      </c>
      <c r="B136" s="478" t="s">
        <v>86</v>
      </c>
      <c r="C136" s="378" t="s">
        <v>365</v>
      </c>
      <c r="D136" s="387">
        <f>VLOOKUP(A136,'Evento Cotiz'!$W$49:$Y$455,3,FALSE)</f>
        <v>0</v>
      </c>
      <c r="E136" s="422">
        <f>VLOOKUP(A136,'Evento Cotiz'!$A$49:$T$459,12,FALSE)</f>
        <v>16626.952000000001</v>
      </c>
      <c r="F136" s="427">
        <f>VLOOKUP(A136,'Evento Cotiz'!$A$49:$T$459,13,FALSE)</f>
        <v>1251.2560000000001</v>
      </c>
      <c r="G136" s="428">
        <f>Tabla1[[#This Row],[Cantidad]]*Tabla1[[#This Row],[P Piso]]</f>
        <v>0</v>
      </c>
      <c r="H136" s="433">
        <f>Tabla1[[#This Row],[P Piso]]-(Tabla1[[#This Row],[P Piso]]*20%)</f>
        <v>1001.0048</v>
      </c>
      <c r="I136" s="434">
        <f>IF((1-(Tabla1[[#This Row],[P Piso-20%]]/Tabla1[[#This Row],[P Oferta]]))=1,0,1-(Tabla1[[#This Row],[P Piso-20%]]/Tabla1[[#This Row],[P Oferta]]))</f>
        <v>0.93979625369700948</v>
      </c>
      <c r="J136" s="439">
        <f>Tabla1[[#This Row],[P Piso]]-(Tabla1[[#This Row],[P Piso]]*25%)</f>
        <v>938.44200000000001</v>
      </c>
      <c r="K136" s="440">
        <f>IF((1-(Tabla1[[#This Row],[P Piso-25%]]/Tabla1[[#This Row],[P Oferta]]))=1,0,1-(Tabla1[[#This Row],[P Piso-25%]]/Tabla1[[#This Row],[P Oferta]]))</f>
        <v>0.94355898784094649</v>
      </c>
      <c r="L136" s="379"/>
      <c r="M136" s="469">
        <v>132</v>
      </c>
      <c r="N136" s="473"/>
      <c r="O136" s="473"/>
      <c r="P136" s="474"/>
      <c r="Q136" s="381"/>
      <c r="R136" s="380"/>
      <c r="S136" s="381"/>
      <c r="T136" s="106"/>
      <c r="U136" s="107"/>
      <c r="W136" s="377">
        <v>0</v>
      </c>
    </row>
    <row r="137" spans="1:23">
      <c r="A137" s="477">
        <v>68</v>
      </c>
      <c r="B137" s="478" t="s">
        <v>87</v>
      </c>
      <c r="C137" s="378" t="s">
        <v>365</v>
      </c>
      <c r="D137" s="387">
        <f>VLOOKUP(A137,'Evento Cotiz'!$W$49:$Y$455,3,FALSE)</f>
        <v>0</v>
      </c>
      <c r="E137" s="422">
        <f>VLOOKUP(A137,'Evento Cotiz'!$A$49:$T$459,12,FALSE)</f>
        <v>17800.619200000001</v>
      </c>
      <c r="F137" s="427">
        <f>VLOOKUP(A137,'Evento Cotiz'!$A$49:$T$459,13,FALSE)</f>
        <v>1251.2560000000001</v>
      </c>
      <c r="G137" s="428">
        <f>Tabla1[[#This Row],[Cantidad]]*Tabla1[[#This Row],[P Piso]]</f>
        <v>0</v>
      </c>
      <c r="H137" s="433">
        <f>Tabla1[[#This Row],[P Piso]]-(Tabla1[[#This Row],[P Piso]]*20%)</f>
        <v>1001.0048</v>
      </c>
      <c r="I137" s="434">
        <f>IF((1-(Tabla1[[#This Row],[P Piso-20%]]/Tabla1[[#This Row],[P Oferta]]))=1,0,1-(Tabla1[[#This Row],[P Piso-20%]]/Tabla1[[#This Row],[P Oferta]]))</f>
        <v>0.94376573147522869</v>
      </c>
      <c r="J137" s="439">
        <f>Tabla1[[#This Row],[P Piso]]-(Tabla1[[#This Row],[P Piso]]*25%)</f>
        <v>938.44200000000001</v>
      </c>
      <c r="K137" s="440">
        <f>IF((1-(Tabla1[[#This Row],[P Piso-25%]]/Tabla1[[#This Row],[P Oferta]]))=1,0,1-(Tabla1[[#This Row],[P Piso-25%]]/Tabla1[[#This Row],[P Oferta]]))</f>
        <v>0.94728037325802694</v>
      </c>
      <c r="L137" s="379"/>
      <c r="M137" s="469">
        <v>133</v>
      </c>
      <c r="N137" s="473"/>
      <c r="O137" s="473"/>
      <c r="P137" s="474"/>
      <c r="Q137" s="381"/>
      <c r="R137" s="380"/>
      <c r="S137" s="381"/>
      <c r="T137" s="106"/>
      <c r="U137" s="107"/>
      <c r="W137" s="377">
        <v>4</v>
      </c>
    </row>
    <row r="138" spans="1:23" ht="18">
      <c r="A138" s="477">
        <v>71</v>
      </c>
      <c r="B138" s="478" t="s">
        <v>90</v>
      </c>
      <c r="C138" s="378" t="s">
        <v>365</v>
      </c>
      <c r="D138" s="387">
        <f>VLOOKUP(A138,'Evento Cotiz'!$W$49:$Y$455,3,FALSE)</f>
        <v>0</v>
      </c>
      <c r="E138" s="422">
        <f>VLOOKUP(A138,'Evento Cotiz'!$A$49:$T$459,12,FALSE)</f>
        <v>21633.068800000001</v>
      </c>
      <c r="F138" s="427">
        <f>VLOOKUP(A138,'Evento Cotiz'!$A$49:$T$459,13,FALSE)</f>
        <v>3708.9632000000001</v>
      </c>
      <c r="G138" s="428">
        <f>Tabla1[[#This Row],[Cantidad]]*Tabla1[[#This Row],[P Piso]]</f>
        <v>0</v>
      </c>
      <c r="H138" s="433">
        <f>Tabla1[[#This Row],[P Piso]]-(Tabla1[[#This Row],[P Piso]]*20%)</f>
        <v>2967.17056</v>
      </c>
      <c r="I138" s="434">
        <f>IF((1-(Tabla1[[#This Row],[P Piso-20%]]/Tabla1[[#This Row],[P Oferta]]))=1,0,1-(Tabla1[[#This Row],[P Piso-20%]]/Tabla1[[#This Row],[P Oferta]]))</f>
        <v>0.86284097797534853</v>
      </c>
      <c r="J138" s="439">
        <f>Tabla1[[#This Row],[P Piso]]-(Tabla1[[#This Row],[P Piso]]*25%)</f>
        <v>2781.7224000000001</v>
      </c>
      <c r="K138" s="440">
        <f>IF((1-(Tabla1[[#This Row],[P Piso-25%]]/Tabla1[[#This Row],[P Oferta]]))=1,0,1-(Tabla1[[#This Row],[P Piso-25%]]/Tabla1[[#This Row],[P Oferta]]))</f>
        <v>0.87141341685188922</v>
      </c>
      <c r="L138" s="379"/>
      <c r="M138" s="469">
        <v>134</v>
      </c>
      <c r="N138" s="473"/>
      <c r="O138" s="473"/>
      <c r="P138" s="474"/>
      <c r="Q138" s="381"/>
      <c r="R138" s="380"/>
      <c r="S138" s="381"/>
      <c r="T138" s="106"/>
      <c r="U138" s="107"/>
      <c r="W138" s="377">
        <v>4</v>
      </c>
    </row>
    <row r="139" spans="1:23">
      <c r="A139" s="477">
        <v>73</v>
      </c>
      <c r="B139" s="478" t="s">
        <v>92</v>
      </c>
      <c r="C139" s="378" t="s">
        <v>365</v>
      </c>
      <c r="D139" s="387">
        <f>VLOOKUP(A139,'Evento Cotiz'!$W$49:$Y$455,3,FALSE)</f>
        <v>0</v>
      </c>
      <c r="E139" s="422">
        <f>VLOOKUP(A139,'Evento Cotiz'!$A$49:$T$459,12,FALSE)</f>
        <v>24142.137600000002</v>
      </c>
      <c r="F139" s="427">
        <f>VLOOKUP(A139,'Evento Cotiz'!$A$49:$T$459,13,FALSE)</f>
        <v>1237.0496000000001</v>
      </c>
      <c r="G139" s="428">
        <f>Tabla1[[#This Row],[Cantidad]]*Tabla1[[#This Row],[P Piso]]</f>
        <v>0</v>
      </c>
      <c r="H139" s="433">
        <f>Tabla1[[#This Row],[P Piso]]-(Tabla1[[#This Row],[P Piso]]*20%)</f>
        <v>989.63968</v>
      </c>
      <c r="I139" s="434">
        <f>IF((1-(Tabla1[[#This Row],[P Piso-20%]]/Tabla1[[#This Row],[P Oferta]]))=1,0,1-(Tabla1[[#This Row],[P Piso-20%]]/Tabla1[[#This Row],[P Oferta]]))</f>
        <v>0.95900778562375522</v>
      </c>
      <c r="J139" s="439">
        <f>Tabla1[[#This Row],[P Piso]]-(Tabla1[[#This Row],[P Piso]]*25%)</f>
        <v>927.78719999999998</v>
      </c>
      <c r="K139" s="440">
        <f>IF((1-(Tabla1[[#This Row],[P Piso-25%]]/Tabla1[[#This Row],[P Oferta]]))=1,0,1-(Tabla1[[#This Row],[P Piso-25%]]/Tabla1[[#This Row],[P Oferta]]))</f>
        <v>0.96156979902227047</v>
      </c>
      <c r="L139" s="379"/>
      <c r="M139" s="469">
        <v>135</v>
      </c>
      <c r="N139" s="473"/>
      <c r="O139" s="473"/>
      <c r="P139" s="474"/>
      <c r="Q139" s="381"/>
      <c r="R139" s="380"/>
      <c r="S139" s="381"/>
      <c r="T139" s="106"/>
      <c r="U139" s="107"/>
      <c r="W139" s="377">
        <v>2</v>
      </c>
    </row>
    <row r="140" spans="1:23" ht="13.5" customHeight="1">
      <c r="A140" s="477">
        <v>74</v>
      </c>
      <c r="B140" s="478" t="s">
        <v>93</v>
      </c>
      <c r="C140" s="378" t="s">
        <v>365</v>
      </c>
      <c r="D140" s="387">
        <f>VLOOKUP(A140,'Evento Cotiz'!$W$49:$Y$455,3,FALSE)</f>
        <v>0</v>
      </c>
      <c r="E140" s="422">
        <f>VLOOKUP(A140,'Evento Cotiz'!$A$49:$T$459,12,FALSE)</f>
        <v>15526.502399999999</v>
      </c>
      <c r="F140" s="427">
        <f>VLOOKUP(A140,'Evento Cotiz'!$A$49:$T$459,13,FALSE)</f>
        <v>926.69439999999997</v>
      </c>
      <c r="G140" s="428">
        <f>Tabla1[[#This Row],[Cantidad]]*Tabla1[[#This Row],[P Piso]]</f>
        <v>0</v>
      </c>
      <c r="H140" s="433">
        <f>Tabla1[[#This Row],[P Piso]]-(Tabla1[[#This Row],[P Piso]]*20%)</f>
        <v>741.35551999999996</v>
      </c>
      <c r="I140" s="434">
        <f>IF((1-(Tabla1[[#This Row],[P Piso-20%]]/Tabla1[[#This Row],[P Oferta]]))=1,0,1-(Tabla1[[#This Row],[P Piso-20%]]/Tabla1[[#This Row],[P Oferta]]))</f>
        <v>0.9522522522522523</v>
      </c>
      <c r="J140" s="439">
        <f>Tabla1[[#This Row],[P Piso]]-(Tabla1[[#This Row],[P Piso]]*25%)</f>
        <v>695.02080000000001</v>
      </c>
      <c r="K140" s="440">
        <f>IF((1-(Tabla1[[#This Row],[P Piso-25%]]/Tabla1[[#This Row],[P Oferta]]))=1,0,1-(Tabla1[[#This Row],[P Piso-25%]]/Tabla1[[#This Row],[P Oferta]]))</f>
        <v>0.95523648648648651</v>
      </c>
      <c r="L140" s="379"/>
      <c r="M140" s="469">
        <v>136</v>
      </c>
      <c r="N140" s="473"/>
      <c r="O140" s="473"/>
      <c r="P140" s="474"/>
      <c r="Q140" s="381"/>
      <c r="R140" s="380"/>
      <c r="S140" s="381"/>
      <c r="T140" s="106"/>
      <c r="U140" s="107"/>
      <c r="W140" s="377">
        <v>0</v>
      </c>
    </row>
    <row r="141" spans="1:23" ht="13.5" customHeight="1">
      <c r="A141" s="477">
        <v>76</v>
      </c>
      <c r="B141" s="478" t="s">
        <v>95</v>
      </c>
      <c r="C141" s="378" t="s">
        <v>365</v>
      </c>
      <c r="D141" s="387">
        <f>VLOOKUP(A141,'Evento Cotiz'!$W$49:$Y$455,3,FALSE)</f>
        <v>0</v>
      </c>
      <c r="E141" s="422">
        <f>VLOOKUP(A141,'Evento Cotiz'!$A$49:$T$459,12,FALSE)</f>
        <v>1223.9359999999999</v>
      </c>
      <c r="F141" s="427">
        <f>VLOOKUP(A141,'Evento Cotiz'!$A$49:$T$459,13,FALSE)</f>
        <v>272.10719999999998</v>
      </c>
      <c r="G141" s="428">
        <f>Tabla1[[#This Row],[Cantidad]]*Tabla1[[#This Row],[P Piso]]</f>
        <v>0</v>
      </c>
      <c r="H141" s="433">
        <f>Tabla1[[#This Row],[P Piso]]-(Tabla1[[#This Row],[P Piso]]*20%)</f>
        <v>217.68575999999999</v>
      </c>
      <c r="I141" s="434">
        <f>IF((1-(Tabla1[[#This Row],[P Piso-20%]]/Tabla1[[#This Row],[P Oferta]]))=1,0,1-(Tabla1[[#This Row],[P Piso-20%]]/Tabla1[[#This Row],[P Oferta]]))</f>
        <v>0.82214285714285718</v>
      </c>
      <c r="J141" s="439">
        <f>Tabla1[[#This Row],[P Piso]]-(Tabla1[[#This Row],[P Piso]]*25%)</f>
        <v>204.0804</v>
      </c>
      <c r="K141" s="440">
        <f>IF((1-(Tabla1[[#This Row],[P Piso-25%]]/Tabla1[[#This Row],[P Oferta]]))=1,0,1-(Tabla1[[#This Row],[P Piso-25%]]/Tabla1[[#This Row],[P Oferta]]))</f>
        <v>0.83325892857142858</v>
      </c>
      <c r="L141" s="379"/>
      <c r="M141" s="469">
        <v>137</v>
      </c>
      <c r="N141" s="473"/>
      <c r="O141" s="473"/>
      <c r="P141" s="474"/>
      <c r="Q141" s="381"/>
      <c r="R141" s="380"/>
      <c r="S141" s="381"/>
      <c r="T141" s="106"/>
      <c r="U141" s="107"/>
      <c r="W141" s="377">
        <v>0</v>
      </c>
    </row>
    <row r="142" spans="1:23" ht="13.5" customHeight="1">
      <c r="A142" s="477">
        <v>78</v>
      </c>
      <c r="B142" s="478" t="s">
        <v>97</v>
      </c>
      <c r="C142" s="378" t="s">
        <v>365</v>
      </c>
      <c r="D142" s="387">
        <f>VLOOKUP(A142,'Evento Cotiz'!$W$49:$Y$455,3,FALSE)</f>
        <v>0</v>
      </c>
      <c r="E142" s="422">
        <f>VLOOKUP(A142,'Evento Cotiz'!$A$49:$T$459,12,FALSE)</f>
        <v>1124.4911999999999</v>
      </c>
      <c r="F142" s="427">
        <f>VLOOKUP(A142,'Evento Cotiz'!$A$49:$T$459,13,FALSE)</f>
        <v>228.39519999999999</v>
      </c>
      <c r="G142" s="428">
        <f>Tabla1[[#This Row],[Cantidad]]*Tabla1[[#This Row],[P Piso]]</f>
        <v>0</v>
      </c>
      <c r="H142" s="433">
        <f>Tabla1[[#This Row],[P Piso]]-(Tabla1[[#This Row],[P Piso]]*20%)</f>
        <v>182.71616</v>
      </c>
      <c r="I142" s="434">
        <f>IF((1-(Tabla1[[#This Row],[P Piso-20%]]/Tabla1[[#This Row],[P Oferta]]))=1,0,1-(Tabla1[[#This Row],[P Piso-20%]]/Tabla1[[#This Row],[P Oferta]]))</f>
        <v>0.83751214771622928</v>
      </c>
      <c r="J142" s="439">
        <f>Tabla1[[#This Row],[P Piso]]-(Tabla1[[#This Row],[P Piso]]*25%)</f>
        <v>171.29640000000001</v>
      </c>
      <c r="K142" s="440">
        <f>IF((1-(Tabla1[[#This Row],[P Piso-25%]]/Tabla1[[#This Row],[P Oferta]]))=1,0,1-(Tabla1[[#This Row],[P Piso-25%]]/Tabla1[[#This Row],[P Oferta]]))</f>
        <v>0.84766763848396498</v>
      </c>
      <c r="L142" s="379"/>
      <c r="M142" s="469">
        <v>138</v>
      </c>
      <c r="N142" s="473"/>
      <c r="O142" s="473"/>
      <c r="P142" s="474"/>
      <c r="Q142" s="381"/>
      <c r="R142" s="380"/>
      <c r="S142" s="381"/>
      <c r="T142" s="106"/>
      <c r="U142" s="107"/>
      <c r="W142" s="377">
        <v>0</v>
      </c>
    </row>
    <row r="143" spans="1:23">
      <c r="A143" s="477">
        <v>79</v>
      </c>
      <c r="B143" s="478" t="s">
        <v>98</v>
      </c>
      <c r="C143" s="378" t="s">
        <v>365</v>
      </c>
      <c r="D143" s="387">
        <f>VLOOKUP(A143,'Evento Cotiz'!$W$49:$Y$455,3,FALSE)</f>
        <v>0</v>
      </c>
      <c r="E143" s="422">
        <f>VLOOKUP(A143,'Evento Cotiz'!$A$49:$T$459,12,FALSE)</f>
        <v>766.05279999999993</v>
      </c>
      <c r="F143" s="427">
        <f>VLOOKUP(A143,'Evento Cotiz'!$A$49:$T$459,13,FALSE)</f>
        <v>208.72479999999999</v>
      </c>
      <c r="G143" s="428">
        <f>Tabla1[[#This Row],[Cantidad]]*Tabla1[[#This Row],[P Piso]]</f>
        <v>0</v>
      </c>
      <c r="H143" s="433">
        <f>Tabla1[[#This Row],[P Piso]]-(Tabla1[[#This Row],[P Piso]]*20%)</f>
        <v>166.97984</v>
      </c>
      <c r="I143" s="434">
        <f>IF((1-(Tabla1[[#This Row],[P Piso-20%]]/Tabla1[[#This Row],[P Oferta]]))=1,0,1-(Tabla1[[#This Row],[P Piso-20%]]/Tabla1[[#This Row],[P Oferta]]))</f>
        <v>0.78202567760342367</v>
      </c>
      <c r="J143" s="439">
        <f>Tabla1[[#This Row],[P Piso]]-(Tabla1[[#This Row],[P Piso]]*25%)</f>
        <v>156.5436</v>
      </c>
      <c r="K143" s="440">
        <f>IF((1-(Tabla1[[#This Row],[P Piso-25%]]/Tabla1[[#This Row],[P Oferta]]))=1,0,1-(Tabla1[[#This Row],[P Piso-25%]]/Tabla1[[#This Row],[P Oferta]]))</f>
        <v>0.79564907275320973</v>
      </c>
      <c r="L143" s="379"/>
      <c r="M143" s="469">
        <v>139</v>
      </c>
      <c r="N143" s="473"/>
      <c r="O143" s="473"/>
      <c r="P143" s="474"/>
      <c r="Q143" s="381"/>
      <c r="R143" s="380"/>
      <c r="S143" s="381"/>
      <c r="T143" s="106"/>
      <c r="U143" s="107"/>
      <c r="W143" s="377">
        <v>2</v>
      </c>
    </row>
    <row r="144" spans="1:23" ht="13.5" customHeight="1">
      <c r="A144" s="477">
        <v>80</v>
      </c>
      <c r="B144" s="478" t="s">
        <v>99</v>
      </c>
      <c r="C144" s="378" t="s">
        <v>365</v>
      </c>
      <c r="D144" s="387">
        <f>VLOOKUP(A144,'Evento Cotiz'!$W$49:$Y$455,3,FALSE)</f>
        <v>0</v>
      </c>
      <c r="E144" s="422">
        <f>VLOOKUP(A144,'Evento Cotiz'!$A$49:$T$459,12,FALSE)</f>
        <v>1298.2464</v>
      </c>
      <c r="F144" s="427">
        <f>VLOOKUP(A144,'Evento Cotiz'!$A$49:$T$459,13,FALSE)</f>
        <v>233.85919999999999</v>
      </c>
      <c r="G144" s="428">
        <f>Tabla1[[#This Row],[Cantidad]]*Tabla1[[#This Row],[P Piso]]</f>
        <v>0</v>
      </c>
      <c r="H144" s="433">
        <f>Tabla1[[#This Row],[P Piso]]-(Tabla1[[#This Row],[P Piso]]*20%)</f>
        <v>187.08735999999999</v>
      </c>
      <c r="I144" s="434">
        <f>IF((1-(Tabla1[[#This Row],[P Piso-20%]]/Tabla1[[#This Row],[P Oferta]]))=1,0,1-(Tabla1[[#This Row],[P Piso-20%]]/Tabla1[[#This Row],[P Oferta]]))</f>
        <v>0.85589225589225593</v>
      </c>
      <c r="J144" s="439">
        <f>Tabla1[[#This Row],[P Piso]]-(Tabla1[[#This Row],[P Piso]]*25%)</f>
        <v>175.39439999999999</v>
      </c>
      <c r="K144" s="440">
        <f>IF((1-(Tabla1[[#This Row],[P Piso-25%]]/Tabla1[[#This Row],[P Oferta]]))=1,0,1-(Tabla1[[#This Row],[P Piso-25%]]/Tabla1[[#This Row],[P Oferta]]))</f>
        <v>0.86489898989898994</v>
      </c>
      <c r="L144" s="379"/>
      <c r="M144" s="469">
        <v>140</v>
      </c>
      <c r="N144" s="473"/>
      <c r="O144" s="473"/>
      <c r="P144" s="474"/>
      <c r="Q144" s="381"/>
      <c r="R144" s="380"/>
      <c r="S144" s="381"/>
      <c r="T144" s="106"/>
      <c r="U144" s="107"/>
      <c r="W144" s="377">
        <v>0</v>
      </c>
    </row>
    <row r="145" spans="1:23" ht="13.5" customHeight="1">
      <c r="A145" s="477">
        <v>81</v>
      </c>
      <c r="B145" s="478" t="s">
        <v>100</v>
      </c>
      <c r="C145" s="378" t="s">
        <v>365</v>
      </c>
      <c r="D145" s="387">
        <f>VLOOKUP(A145,'Evento Cotiz'!$W$49:$Y$455,3,FALSE)</f>
        <v>0</v>
      </c>
      <c r="E145" s="422">
        <f>VLOOKUP(A145,'Evento Cotiz'!$A$49:$T$459,12,FALSE)</f>
        <v>704.85599999999999</v>
      </c>
      <c r="F145" s="427">
        <f>VLOOKUP(A145,'Evento Cotiz'!$A$49:$T$459,13,FALSE)</f>
        <v>233.85919999999999</v>
      </c>
      <c r="G145" s="428">
        <f>Tabla1[[#This Row],[Cantidad]]*Tabla1[[#This Row],[P Piso]]</f>
        <v>0</v>
      </c>
      <c r="H145" s="433">
        <f>Tabla1[[#This Row],[P Piso]]-(Tabla1[[#This Row],[P Piso]]*20%)</f>
        <v>187.08735999999999</v>
      </c>
      <c r="I145" s="434">
        <f>IF((1-(Tabla1[[#This Row],[P Piso-20%]]/Tabla1[[#This Row],[P Oferta]]))=1,0,1-(Tabla1[[#This Row],[P Piso-20%]]/Tabla1[[#This Row],[P Oferta]]))</f>
        <v>0.73457364341085274</v>
      </c>
      <c r="J145" s="439">
        <f>Tabla1[[#This Row],[P Piso]]-(Tabla1[[#This Row],[P Piso]]*25%)</f>
        <v>175.39439999999999</v>
      </c>
      <c r="K145" s="440">
        <f>IF((1-(Tabla1[[#This Row],[P Piso-25%]]/Tabla1[[#This Row],[P Oferta]]))=1,0,1-(Tabla1[[#This Row],[P Piso-25%]]/Tabla1[[#This Row],[P Oferta]]))</f>
        <v>0.75116279069767444</v>
      </c>
      <c r="L145" s="379"/>
      <c r="M145" s="469">
        <v>141</v>
      </c>
      <c r="N145" s="473"/>
      <c r="O145" s="473"/>
      <c r="P145" s="474"/>
      <c r="Q145" s="381"/>
      <c r="R145" s="380"/>
      <c r="S145" s="381"/>
      <c r="T145" s="106"/>
      <c r="U145" s="107"/>
      <c r="W145" s="377">
        <v>0</v>
      </c>
    </row>
    <row r="146" spans="1:23" ht="13.5" customHeight="1">
      <c r="A146" s="477">
        <v>83</v>
      </c>
      <c r="B146" s="478" t="s">
        <v>102</v>
      </c>
      <c r="C146" s="378" t="s">
        <v>365</v>
      </c>
      <c r="D146" s="387">
        <f>VLOOKUP(A146,'Evento Cotiz'!$W$49:$Y$455,3,FALSE)</f>
        <v>0</v>
      </c>
      <c r="E146" s="422">
        <f>VLOOKUP(A146,'Evento Cotiz'!$A$49:$T$459,12,FALSE)</f>
        <v>5266.2031999999999</v>
      </c>
      <c r="F146" s="427">
        <f>VLOOKUP(A146,'Evento Cotiz'!$A$49:$T$459,13,FALSE)</f>
        <v>2855.4863999999998</v>
      </c>
      <c r="G146" s="428">
        <f>Tabla1[[#This Row],[Cantidad]]*Tabla1[[#This Row],[P Piso]]</f>
        <v>0</v>
      </c>
      <c r="H146" s="433">
        <f>Tabla1[[#This Row],[P Piso]]-(Tabla1[[#This Row],[P Piso]]*20%)</f>
        <v>2284.3891199999998</v>
      </c>
      <c r="I146" s="434">
        <f>IF((1-(Tabla1[[#This Row],[P Piso-20%]]/Tabla1[[#This Row],[P Oferta]]))=1,0,1-(Tabla1[[#This Row],[P Piso-20%]]/Tabla1[[#This Row],[P Oferta]]))</f>
        <v>0.5662170574808052</v>
      </c>
      <c r="J146" s="439">
        <f>Tabla1[[#This Row],[P Piso]]-(Tabla1[[#This Row],[P Piso]]*25%)</f>
        <v>2141.6147999999998</v>
      </c>
      <c r="K146" s="440">
        <f>IF((1-(Tabla1[[#This Row],[P Piso-25%]]/Tabla1[[#This Row],[P Oferta]]))=1,0,1-(Tabla1[[#This Row],[P Piso-25%]]/Tabla1[[#This Row],[P Oferta]]))</f>
        <v>0.59332849138825483</v>
      </c>
      <c r="L146" s="379"/>
      <c r="M146" s="469">
        <v>142</v>
      </c>
      <c r="N146" s="473"/>
      <c r="O146" s="473"/>
      <c r="P146" s="474"/>
      <c r="Q146" s="381"/>
      <c r="R146" s="380"/>
      <c r="S146" s="381"/>
      <c r="T146" s="106"/>
      <c r="U146" s="107"/>
      <c r="W146" s="377">
        <v>0</v>
      </c>
    </row>
    <row r="147" spans="1:23">
      <c r="A147" s="477">
        <v>85</v>
      </c>
      <c r="B147" s="478" t="s">
        <v>104</v>
      </c>
      <c r="C147" s="378" t="s">
        <v>365</v>
      </c>
      <c r="D147" s="387">
        <f>VLOOKUP(A147,'Evento Cotiz'!$W$49:$Y$455,3,FALSE)</f>
        <v>0</v>
      </c>
      <c r="E147" s="422">
        <f>VLOOKUP(A147,'Evento Cotiz'!$A$49:$T$459,12,FALSE)</f>
        <v>7194.9952000000003</v>
      </c>
      <c r="F147" s="427">
        <f>VLOOKUP(A147,'Evento Cotiz'!$A$49:$T$459,13,FALSE)</f>
        <v>3489.3103999999998</v>
      </c>
      <c r="G147" s="428">
        <f>Tabla1[[#This Row],[Cantidad]]*Tabla1[[#This Row],[P Piso]]</f>
        <v>0</v>
      </c>
      <c r="H147" s="433">
        <f>Tabla1[[#This Row],[P Piso]]-(Tabla1[[#This Row],[P Piso]]*20%)</f>
        <v>2791.44832</v>
      </c>
      <c r="I147" s="434">
        <f>IF((1-(Tabla1[[#This Row],[P Piso-20%]]/Tabla1[[#This Row],[P Oferta]]))=1,0,1-(Tabla1[[#This Row],[P Piso-20%]]/Tabla1[[#This Row],[P Oferta]]))</f>
        <v>0.61202916160388821</v>
      </c>
      <c r="J147" s="439">
        <f>Tabla1[[#This Row],[P Piso]]-(Tabla1[[#This Row],[P Piso]]*25%)</f>
        <v>2616.9827999999998</v>
      </c>
      <c r="K147" s="440">
        <f>IF((1-(Tabla1[[#This Row],[P Piso-25%]]/Tabla1[[#This Row],[P Oferta]]))=1,0,1-(Tabla1[[#This Row],[P Piso-25%]]/Tabla1[[#This Row],[P Oferta]]))</f>
        <v>0.63627733900364525</v>
      </c>
      <c r="L147" s="379"/>
      <c r="M147" s="469">
        <v>143</v>
      </c>
      <c r="N147" s="473"/>
      <c r="O147" s="473"/>
      <c r="P147" s="474"/>
      <c r="Q147" s="381"/>
      <c r="R147" s="380"/>
      <c r="S147" s="381"/>
      <c r="T147" s="106"/>
      <c r="U147" s="107"/>
      <c r="W147" s="377">
        <v>10</v>
      </c>
    </row>
    <row r="148" spans="1:23" ht="13.5" customHeight="1">
      <c r="A148" s="477">
        <v>86</v>
      </c>
      <c r="B148" s="478" t="s">
        <v>105</v>
      </c>
      <c r="C148" s="378" t="s">
        <v>365</v>
      </c>
      <c r="D148" s="387">
        <f>VLOOKUP(A148,'Evento Cotiz'!$W$49:$Y$455,3,FALSE)</f>
        <v>0</v>
      </c>
      <c r="E148" s="422">
        <f>VLOOKUP(A148,'Evento Cotiz'!$A$49:$T$459,12,FALSE)</f>
        <v>12732.212799999999</v>
      </c>
      <c r="F148" s="427">
        <f>VLOOKUP(A148,'Evento Cotiz'!$A$49:$T$459,13,FALSE)</f>
        <v>4573.3680000000004</v>
      </c>
      <c r="G148" s="428">
        <f>Tabla1[[#This Row],[Cantidad]]*Tabla1[[#This Row],[P Piso]]</f>
        <v>0</v>
      </c>
      <c r="H148" s="433">
        <f>Tabla1[[#This Row],[P Piso]]-(Tabla1[[#This Row],[P Piso]]*20%)</f>
        <v>3658.6944000000003</v>
      </c>
      <c r="I148" s="434">
        <f>IF((1-(Tabla1[[#This Row],[P Piso-20%]]/Tabla1[[#This Row],[P Oferta]]))=1,0,1-(Tabla1[[#This Row],[P Piso-20%]]/Tabla1[[#This Row],[P Oferta]]))</f>
        <v>0.7126426916144537</v>
      </c>
      <c r="J148" s="439">
        <f>Tabla1[[#This Row],[P Piso]]-(Tabla1[[#This Row],[P Piso]]*25%)</f>
        <v>3430.0260000000003</v>
      </c>
      <c r="K148" s="440">
        <f>IF((1-(Tabla1[[#This Row],[P Piso-25%]]/Tabla1[[#This Row],[P Oferta]]))=1,0,1-(Tabla1[[#This Row],[P Piso-25%]]/Tabla1[[#This Row],[P Oferta]]))</f>
        <v>0.73060252338855025</v>
      </c>
      <c r="L148" s="379"/>
      <c r="M148" s="469">
        <v>144</v>
      </c>
      <c r="N148" s="473"/>
      <c r="O148" s="473"/>
      <c r="P148" s="474"/>
      <c r="Q148" s="381"/>
      <c r="R148" s="380"/>
      <c r="S148" s="381"/>
      <c r="T148" s="106"/>
      <c r="U148" s="107"/>
      <c r="W148" s="377">
        <v>0</v>
      </c>
    </row>
    <row r="149" spans="1:23" ht="13.5" customHeight="1">
      <c r="A149" s="477">
        <v>88</v>
      </c>
      <c r="B149" s="478" t="s">
        <v>107</v>
      </c>
      <c r="C149" s="378" t="s">
        <v>365</v>
      </c>
      <c r="D149" s="387">
        <f>VLOOKUP(A149,'Evento Cotiz'!$W$49:$Y$455,3,FALSE)</f>
        <v>0</v>
      </c>
      <c r="E149" s="422">
        <f>VLOOKUP(A149,'Evento Cotiz'!$A$49:$T$459,12,FALSE)</f>
        <v>5229.0479999999998</v>
      </c>
      <c r="F149" s="427">
        <f>VLOOKUP(A149,'Evento Cotiz'!$A$49:$T$459,13,FALSE)</f>
        <v>1802.0272</v>
      </c>
      <c r="G149" s="428">
        <f>Tabla1[[#This Row],[Cantidad]]*Tabla1[[#This Row],[P Piso]]</f>
        <v>0</v>
      </c>
      <c r="H149" s="433">
        <f>Tabla1[[#This Row],[P Piso]]-(Tabla1[[#This Row],[P Piso]]*20%)</f>
        <v>1441.62176</v>
      </c>
      <c r="I149" s="434">
        <f>IF((1-(Tabla1[[#This Row],[P Piso-20%]]/Tabla1[[#This Row],[P Oferta]]))=1,0,1-(Tabla1[[#This Row],[P Piso-20%]]/Tabla1[[#This Row],[P Oferta]]))</f>
        <v>0.72430512016718906</v>
      </c>
      <c r="J149" s="439">
        <f>Tabla1[[#This Row],[P Piso]]-(Tabla1[[#This Row],[P Piso]]*25%)</f>
        <v>1351.5203999999999</v>
      </c>
      <c r="K149" s="440">
        <f>IF((1-(Tabla1[[#This Row],[P Piso-25%]]/Tabla1[[#This Row],[P Oferta]]))=1,0,1-(Tabla1[[#This Row],[P Piso-25%]]/Tabla1[[#This Row],[P Oferta]]))</f>
        <v>0.74153605015673985</v>
      </c>
      <c r="L149" s="379"/>
      <c r="M149" s="469">
        <v>145</v>
      </c>
      <c r="N149" s="473"/>
      <c r="O149" s="473"/>
      <c r="P149" s="474"/>
      <c r="Q149" s="381"/>
      <c r="R149" s="380"/>
      <c r="S149" s="381"/>
      <c r="T149" s="106"/>
      <c r="U149" s="107"/>
      <c r="W149" s="377">
        <v>0</v>
      </c>
    </row>
    <row r="150" spans="1:23" ht="13.5" customHeight="1">
      <c r="A150" s="477">
        <v>89</v>
      </c>
      <c r="B150" s="478" t="s">
        <v>108</v>
      </c>
      <c r="C150" s="378" t="s">
        <v>365</v>
      </c>
      <c r="D150" s="387">
        <f>VLOOKUP(A150,'Evento Cotiz'!$W$49:$Y$455,3,FALSE)</f>
        <v>0</v>
      </c>
      <c r="E150" s="422">
        <f>VLOOKUP(A150,'Evento Cotiz'!$A$49:$T$459,12,FALSE)</f>
        <v>3770.16</v>
      </c>
      <c r="F150" s="427">
        <f>VLOOKUP(A150,'Evento Cotiz'!$A$49:$T$459,13,FALSE)</f>
        <v>1770.336</v>
      </c>
      <c r="G150" s="428">
        <f>Tabla1[[#This Row],[Cantidad]]*Tabla1[[#This Row],[P Piso]]</f>
        <v>0</v>
      </c>
      <c r="H150" s="433">
        <f>Tabla1[[#This Row],[P Piso]]-(Tabla1[[#This Row],[P Piso]]*20%)</f>
        <v>1416.2688000000001</v>
      </c>
      <c r="I150" s="434">
        <f>IF((1-(Tabla1[[#This Row],[P Piso-20%]]/Tabla1[[#This Row],[P Oferta]]))=1,0,1-(Tabla1[[#This Row],[P Piso-20%]]/Tabla1[[#This Row],[P Oferta]]))</f>
        <v>0.62434782608695649</v>
      </c>
      <c r="J150" s="439">
        <f>Tabla1[[#This Row],[P Piso]]-(Tabla1[[#This Row],[P Piso]]*25%)</f>
        <v>1327.752</v>
      </c>
      <c r="K150" s="440">
        <f>IF((1-(Tabla1[[#This Row],[P Piso-25%]]/Tabla1[[#This Row],[P Oferta]]))=1,0,1-(Tabla1[[#This Row],[P Piso-25%]]/Tabla1[[#This Row],[P Oferta]]))</f>
        <v>0.64782608695652177</v>
      </c>
      <c r="L150" s="379"/>
      <c r="M150" s="469">
        <v>146</v>
      </c>
      <c r="N150" s="473"/>
      <c r="O150" s="473"/>
      <c r="P150" s="474"/>
      <c r="Q150" s="381"/>
      <c r="R150" s="380"/>
      <c r="S150" s="381"/>
      <c r="T150" s="106"/>
      <c r="U150" s="107"/>
      <c r="W150" s="377">
        <v>0</v>
      </c>
    </row>
    <row r="151" spans="1:23" ht="13.5" customHeight="1">
      <c r="A151" s="477">
        <v>91</v>
      </c>
      <c r="B151" s="478" t="s">
        <v>110</v>
      </c>
      <c r="C151" s="378" t="s">
        <v>365</v>
      </c>
      <c r="D151" s="387">
        <f>VLOOKUP(A151,'Evento Cotiz'!$W$49:$Y$455,3,FALSE)</f>
        <v>0</v>
      </c>
      <c r="E151" s="422">
        <f>VLOOKUP(A151,'Evento Cotiz'!$A$49:$T$459,12,FALSE)</f>
        <v>22375.08</v>
      </c>
      <c r="F151" s="427">
        <f>VLOOKUP(A151,'Evento Cotiz'!$A$49:$T$459,13,FALSE)</f>
        <v>4419.2831999999999</v>
      </c>
      <c r="G151" s="428">
        <f>Tabla1[[#This Row],[Cantidad]]*Tabla1[[#This Row],[P Piso]]</f>
        <v>0</v>
      </c>
      <c r="H151" s="433">
        <f>Tabla1[[#This Row],[P Piso]]-(Tabla1[[#This Row],[P Piso]]*20%)</f>
        <v>3535.4265599999999</v>
      </c>
      <c r="I151" s="434">
        <f>IF((1-(Tabla1[[#This Row],[P Piso-20%]]/Tabla1[[#This Row],[P Oferta]]))=1,0,1-(Tabla1[[#This Row],[P Piso-20%]]/Tabla1[[#This Row],[P Oferta]]))</f>
        <v>0.84199267399267397</v>
      </c>
      <c r="J151" s="439">
        <f>Tabla1[[#This Row],[P Piso]]-(Tabla1[[#This Row],[P Piso]]*25%)</f>
        <v>3314.4623999999999</v>
      </c>
      <c r="K151" s="440">
        <f>IF((1-(Tabla1[[#This Row],[P Piso-25%]]/Tabla1[[#This Row],[P Oferta]]))=1,0,1-(Tabla1[[#This Row],[P Piso-25%]]/Tabla1[[#This Row],[P Oferta]]))</f>
        <v>0.85186813186813182</v>
      </c>
      <c r="L151" s="379"/>
      <c r="M151" s="469">
        <v>147</v>
      </c>
      <c r="N151" s="473"/>
      <c r="O151" s="473"/>
      <c r="P151" s="474"/>
      <c r="Q151" s="381"/>
      <c r="R151" s="380"/>
      <c r="S151" s="381"/>
      <c r="T151" s="106"/>
      <c r="U151" s="107"/>
      <c r="W151" s="377">
        <v>0</v>
      </c>
    </row>
    <row r="152" spans="1:23" ht="13.5" customHeight="1">
      <c r="A152" s="477">
        <v>93</v>
      </c>
      <c r="B152" s="478" t="s">
        <v>112</v>
      </c>
      <c r="C152" s="378" t="s">
        <v>365</v>
      </c>
      <c r="D152" s="387">
        <f>VLOOKUP(A152,'Evento Cotiz'!$W$49:$Y$455,3,FALSE)</f>
        <v>0</v>
      </c>
      <c r="E152" s="422">
        <f>VLOOKUP(A152,'Evento Cotiz'!$A$49:$T$459,12,FALSE)</f>
        <v>11409.924800000001</v>
      </c>
      <c r="F152" s="427">
        <f>VLOOKUP(A152,'Evento Cotiz'!$A$49:$T$459,13,FALSE)</f>
        <v>5750.3135999999995</v>
      </c>
      <c r="G152" s="428">
        <f>Tabla1[[#This Row],[Cantidad]]*Tabla1[[#This Row],[P Piso]]</f>
        <v>0</v>
      </c>
      <c r="H152" s="433">
        <f>Tabla1[[#This Row],[P Piso]]-(Tabla1[[#This Row],[P Piso]]*20%)</f>
        <v>4600.2508799999996</v>
      </c>
      <c r="I152" s="434">
        <f>IF((1-(Tabla1[[#This Row],[P Piso-20%]]/Tabla1[[#This Row],[P Oferta]]))=1,0,1-(Tabla1[[#This Row],[P Piso-20%]]/Tabla1[[#This Row],[P Oferta]]))</f>
        <v>0.59682022794751466</v>
      </c>
      <c r="J152" s="439">
        <f>Tabla1[[#This Row],[P Piso]]-(Tabla1[[#This Row],[P Piso]]*25%)</f>
        <v>4312.7351999999992</v>
      </c>
      <c r="K152" s="440">
        <f>IF((1-(Tabla1[[#This Row],[P Piso-25%]]/Tabla1[[#This Row],[P Oferta]]))=1,0,1-(Tabla1[[#This Row],[P Piso-25%]]/Tabla1[[#This Row],[P Oferta]]))</f>
        <v>0.62201896370079501</v>
      </c>
      <c r="L152" s="379"/>
      <c r="M152" s="469">
        <v>148</v>
      </c>
      <c r="N152" s="473"/>
      <c r="O152" s="473"/>
      <c r="P152" s="474"/>
      <c r="Q152" s="381"/>
      <c r="R152" s="380"/>
      <c r="S152" s="381"/>
      <c r="T152" s="106"/>
      <c r="U152" s="107"/>
      <c r="W152" s="377">
        <v>0</v>
      </c>
    </row>
    <row r="153" spans="1:23" ht="13.5" customHeight="1">
      <c r="A153" s="477">
        <v>96</v>
      </c>
      <c r="B153" s="478" t="s">
        <v>115</v>
      </c>
      <c r="C153" s="378" t="s">
        <v>365</v>
      </c>
      <c r="D153" s="387">
        <f>VLOOKUP(A153,'Evento Cotiz'!$W$49:$Y$455,3,FALSE)</f>
        <v>0</v>
      </c>
      <c r="E153" s="422">
        <f>VLOOKUP(A153,'Evento Cotiz'!$A$49:$T$459,12,FALSE)</f>
        <v>10705.068799999999</v>
      </c>
      <c r="F153" s="427">
        <f>VLOOKUP(A153,'Evento Cotiz'!$A$49:$T$459,13,FALSE)</f>
        <v>3337.4112</v>
      </c>
      <c r="G153" s="428">
        <f>Tabla1[[#This Row],[Cantidad]]*Tabla1[[#This Row],[P Piso]]</f>
        <v>0</v>
      </c>
      <c r="H153" s="433">
        <f>Tabla1[[#This Row],[P Piso]]-(Tabla1[[#This Row],[P Piso]]*20%)</f>
        <v>2669.9289600000002</v>
      </c>
      <c r="I153" s="434">
        <f>IF((1-(Tabla1[[#This Row],[P Piso-20%]]/Tabla1[[#This Row],[P Oferta]]))=1,0,1-(Tabla1[[#This Row],[P Piso-20%]]/Tabla1[[#This Row],[P Oferta]]))</f>
        <v>0.75059207839934661</v>
      </c>
      <c r="J153" s="439">
        <f>Tabla1[[#This Row],[P Piso]]-(Tabla1[[#This Row],[P Piso]]*25%)</f>
        <v>2503.0583999999999</v>
      </c>
      <c r="K153" s="440">
        <f>IF((1-(Tabla1[[#This Row],[P Piso-25%]]/Tabla1[[#This Row],[P Oferta]]))=1,0,1-(Tabla1[[#This Row],[P Piso-25%]]/Tabla1[[#This Row],[P Oferta]]))</f>
        <v>0.76618007349938755</v>
      </c>
      <c r="L153" s="379"/>
      <c r="M153" s="469">
        <v>149</v>
      </c>
      <c r="N153" s="473"/>
      <c r="O153" s="473"/>
      <c r="P153" s="474"/>
      <c r="Q153" s="381"/>
      <c r="R153" s="380"/>
      <c r="S153" s="381"/>
      <c r="T153" s="106"/>
      <c r="U153" s="107"/>
      <c r="W153" s="377">
        <v>0</v>
      </c>
    </row>
    <row r="154" spans="1:23">
      <c r="A154" s="477">
        <v>99</v>
      </c>
      <c r="B154" s="478" t="s">
        <v>118</v>
      </c>
      <c r="C154" s="378" t="s">
        <v>365</v>
      </c>
      <c r="D154" s="387">
        <f>VLOOKUP(A154,'Evento Cotiz'!$W$49:$Y$455,3,FALSE)</f>
        <v>0</v>
      </c>
      <c r="E154" s="422">
        <f>VLOOKUP(A154,'Evento Cotiz'!$A$49:$T$459,12,FALSE)</f>
        <v>30162.372800000001</v>
      </c>
      <c r="F154" s="427">
        <f>VLOOKUP(A154,'Evento Cotiz'!$A$49:$T$459,13,FALSE)</f>
        <v>15162.6</v>
      </c>
      <c r="G154" s="428">
        <f>Tabla1[[#This Row],[Cantidad]]*Tabla1[[#This Row],[P Piso]]</f>
        <v>0</v>
      </c>
      <c r="H154" s="433">
        <f>Tabla1[[#This Row],[P Piso]]-(Tabla1[[#This Row],[P Piso]]*20%)</f>
        <v>12130.08</v>
      </c>
      <c r="I154" s="434">
        <f>IF((1-(Tabla1[[#This Row],[P Piso-20%]]/Tabla1[[#This Row],[P Oferta]]))=1,0,1-(Tabla1[[#This Row],[P Piso-20%]]/Tabla1[[#This Row],[P Oferta]]))</f>
        <v>0.59784065794717578</v>
      </c>
      <c r="J154" s="439">
        <f>Tabla1[[#This Row],[P Piso]]-(Tabla1[[#This Row],[P Piso]]*25%)</f>
        <v>11371.95</v>
      </c>
      <c r="K154" s="440">
        <f>IF((1-(Tabla1[[#This Row],[P Piso-25%]]/Tabla1[[#This Row],[P Oferta]]))=1,0,1-(Tabla1[[#This Row],[P Piso-25%]]/Tabla1[[#This Row],[P Oferta]]))</f>
        <v>0.62297561682547731</v>
      </c>
      <c r="L154" s="379"/>
      <c r="M154" s="469">
        <v>150</v>
      </c>
      <c r="N154" s="473"/>
      <c r="O154" s="473"/>
      <c r="P154" s="474"/>
      <c r="Q154" s="381"/>
      <c r="R154" s="380"/>
      <c r="S154" s="381"/>
      <c r="T154" s="106"/>
      <c r="U154" s="107"/>
      <c r="W154" s="377">
        <v>90</v>
      </c>
    </row>
    <row r="155" spans="1:23" ht="13.5" customHeight="1">
      <c r="A155" s="477">
        <v>100</v>
      </c>
      <c r="B155" s="478" t="s">
        <v>119</v>
      </c>
      <c r="C155" s="378" t="s">
        <v>365</v>
      </c>
      <c r="D155" s="387">
        <f>VLOOKUP(A155,'Evento Cotiz'!$W$49:$Y$455,3,FALSE)</f>
        <v>0</v>
      </c>
      <c r="E155" s="422">
        <f>VLOOKUP(A155,'Evento Cotiz'!$A$49:$T$459,12,FALSE)</f>
        <v>30348.148799999999</v>
      </c>
      <c r="F155" s="427">
        <f>VLOOKUP(A155,'Evento Cotiz'!$A$49:$T$459,13,FALSE)</f>
        <v>15451.099200000001</v>
      </c>
      <c r="G155" s="428">
        <f>Tabla1[[#This Row],[Cantidad]]*Tabla1[[#This Row],[P Piso]]</f>
        <v>0</v>
      </c>
      <c r="H155" s="433">
        <f>Tabla1[[#This Row],[P Piso]]-(Tabla1[[#This Row],[P Piso]]*20%)</f>
        <v>12360.879360000001</v>
      </c>
      <c r="I155" s="434">
        <f>IF((1-(Tabla1[[#This Row],[P Piso-20%]]/Tabla1[[#This Row],[P Oferta]]))=1,0,1-(Tabla1[[#This Row],[P Piso-20%]]/Tabla1[[#This Row],[P Oferta]]))</f>
        <v>0.59269741817003352</v>
      </c>
      <c r="J155" s="439">
        <f>Tabla1[[#This Row],[P Piso]]-(Tabla1[[#This Row],[P Piso]]*25%)</f>
        <v>11588.324400000001</v>
      </c>
      <c r="K155" s="440">
        <f>IF((1-(Tabla1[[#This Row],[P Piso-25%]]/Tabla1[[#This Row],[P Oferta]]))=1,0,1-(Tabla1[[#This Row],[P Piso-25%]]/Tabla1[[#This Row],[P Oferta]]))</f>
        <v>0.61815382953440634</v>
      </c>
      <c r="L155" s="379"/>
      <c r="M155" s="469">
        <v>151</v>
      </c>
      <c r="N155" s="473"/>
      <c r="O155" s="473"/>
      <c r="P155" s="474"/>
      <c r="Q155" s="381"/>
      <c r="R155" s="380"/>
      <c r="S155" s="381"/>
      <c r="T155" s="106"/>
      <c r="U155" s="107"/>
      <c r="W155" s="377">
        <v>0</v>
      </c>
    </row>
    <row r="156" spans="1:23" ht="13.5" customHeight="1">
      <c r="A156" s="477">
        <v>101</v>
      </c>
      <c r="B156" s="478" t="s">
        <v>120</v>
      </c>
      <c r="C156" s="378" t="s">
        <v>365</v>
      </c>
      <c r="D156" s="387">
        <f>VLOOKUP(A156,'Evento Cotiz'!$W$49:$Y$455,3,FALSE)</f>
        <v>0</v>
      </c>
      <c r="E156" s="422">
        <f>VLOOKUP(A156,'Evento Cotiz'!$A$49:$T$459,12,FALSE)</f>
        <v>42153.667199999996</v>
      </c>
      <c r="F156" s="427">
        <f>VLOOKUP(A156,'Evento Cotiz'!$A$49:$T$459,13,FALSE)</f>
        <v>16188.7392</v>
      </c>
      <c r="G156" s="428">
        <f>Tabla1[[#This Row],[Cantidad]]*Tabla1[[#This Row],[P Piso]]</f>
        <v>0</v>
      </c>
      <c r="H156" s="433">
        <f>Tabla1[[#This Row],[P Piso]]-(Tabla1[[#This Row],[P Piso]]*20%)</f>
        <v>12950.99136</v>
      </c>
      <c r="I156" s="434">
        <f>IF((1-(Tabla1[[#This Row],[P Piso-20%]]/Tabla1[[#This Row],[P Oferta]]))=1,0,1-(Tabla1[[#This Row],[P Piso-20%]]/Tabla1[[#This Row],[P Oferta]]))</f>
        <v>0.69276714885674284</v>
      </c>
      <c r="J156" s="439">
        <f>Tabla1[[#This Row],[P Piso]]-(Tabla1[[#This Row],[P Piso]]*25%)</f>
        <v>12141.554400000001</v>
      </c>
      <c r="K156" s="440">
        <f>IF((1-(Tabla1[[#This Row],[P Piso-25%]]/Tabla1[[#This Row],[P Oferta]]))=1,0,1-(Tabla1[[#This Row],[P Piso-25%]]/Tabla1[[#This Row],[P Oferta]]))</f>
        <v>0.71196920205319647</v>
      </c>
      <c r="L156" s="379"/>
      <c r="M156" s="469">
        <v>152</v>
      </c>
      <c r="N156" s="473"/>
      <c r="O156" s="473"/>
      <c r="P156" s="474"/>
      <c r="Q156" s="381"/>
      <c r="R156" s="380"/>
      <c r="S156" s="381"/>
      <c r="T156" s="106"/>
      <c r="U156" s="107"/>
      <c r="W156" s="377">
        <v>0</v>
      </c>
    </row>
    <row r="157" spans="1:23" ht="13.5" customHeight="1">
      <c r="A157" s="477">
        <v>102</v>
      </c>
      <c r="B157" s="478" t="s">
        <v>121</v>
      </c>
      <c r="C157" s="378" t="s">
        <v>365</v>
      </c>
      <c r="D157" s="387">
        <f>VLOOKUP(A157,'Evento Cotiz'!$W$49:$Y$455,3,FALSE)</f>
        <v>0</v>
      </c>
      <c r="E157" s="422">
        <f>VLOOKUP(A157,'Evento Cotiz'!$A$49:$T$459,12,FALSE)</f>
        <v>42141.646399999998</v>
      </c>
      <c r="F157" s="427">
        <f>VLOOKUP(A157,'Evento Cotiz'!$A$49:$T$459,13,FALSE)</f>
        <v>16188.7392</v>
      </c>
      <c r="G157" s="428">
        <f>Tabla1[[#This Row],[Cantidad]]*Tabla1[[#This Row],[P Piso]]</f>
        <v>0</v>
      </c>
      <c r="H157" s="433">
        <f>Tabla1[[#This Row],[P Piso]]-(Tabla1[[#This Row],[P Piso]]*20%)</f>
        <v>12950.99136</v>
      </c>
      <c r="I157" s="434">
        <f>IF((1-(Tabla1[[#This Row],[P Piso-20%]]/Tabla1[[#This Row],[P Oferta]]))=1,0,1-(Tabla1[[#This Row],[P Piso-20%]]/Tabla1[[#This Row],[P Oferta]]))</f>
        <v>0.69267951144879802</v>
      </c>
      <c r="J157" s="439">
        <f>Tabla1[[#This Row],[P Piso]]-(Tabla1[[#This Row],[P Piso]]*25%)</f>
        <v>12141.554400000001</v>
      </c>
      <c r="K157" s="440">
        <f>IF((1-(Tabla1[[#This Row],[P Piso-25%]]/Tabla1[[#This Row],[P Oferta]]))=1,0,1-(Tabla1[[#This Row],[P Piso-25%]]/Tabla1[[#This Row],[P Oferta]]))</f>
        <v>0.71188704198324815</v>
      </c>
      <c r="L157" s="379"/>
      <c r="M157" s="469">
        <v>153</v>
      </c>
      <c r="N157" s="473"/>
      <c r="O157" s="473"/>
      <c r="P157" s="474"/>
      <c r="Q157" s="381"/>
      <c r="R157" s="380"/>
      <c r="S157" s="381"/>
      <c r="T157" s="106"/>
      <c r="U157" s="107"/>
      <c r="W157" s="377">
        <v>0</v>
      </c>
    </row>
    <row r="158" spans="1:23" ht="13.5" customHeight="1">
      <c r="A158" s="477">
        <v>103</v>
      </c>
      <c r="B158" s="478" t="s">
        <v>122</v>
      </c>
      <c r="C158" s="378" t="s">
        <v>365</v>
      </c>
      <c r="D158" s="387">
        <f>VLOOKUP(A158,'Evento Cotiz'!$W$49:$Y$455,3,FALSE)</f>
        <v>0</v>
      </c>
      <c r="E158" s="422">
        <f>VLOOKUP(A158,'Evento Cotiz'!$A$49:$T$459,12,FALSE)</f>
        <v>37764.982400000001</v>
      </c>
      <c r="F158" s="427">
        <f>VLOOKUP(A158,'Evento Cotiz'!$A$49:$T$459,13,FALSE)</f>
        <v>12514.7456</v>
      </c>
      <c r="G158" s="428">
        <f>Tabla1[[#This Row],[Cantidad]]*Tabla1[[#This Row],[P Piso]]</f>
        <v>0</v>
      </c>
      <c r="H158" s="433">
        <f>Tabla1[[#This Row],[P Piso]]-(Tabla1[[#This Row],[P Piso]]*20%)</f>
        <v>10011.796480000001</v>
      </c>
      <c r="I158" s="434">
        <f>IF((1-(Tabla1[[#This Row],[P Piso-20%]]/Tabla1[[#This Row],[P Oferta]]))=1,0,1-(Tabla1[[#This Row],[P Piso-20%]]/Tabla1[[#This Row],[P Oferta]]))</f>
        <v>0.73489206551305053</v>
      </c>
      <c r="J158" s="439">
        <f>Tabla1[[#This Row],[P Piso]]-(Tabla1[[#This Row],[P Piso]]*25%)</f>
        <v>9386.0591999999997</v>
      </c>
      <c r="K158" s="440">
        <f>IF((1-(Tabla1[[#This Row],[P Piso-25%]]/Tabla1[[#This Row],[P Oferta]]))=1,0,1-(Tabla1[[#This Row],[P Piso-25%]]/Tabla1[[#This Row],[P Oferta]]))</f>
        <v>0.75146131141848493</v>
      </c>
      <c r="L158" s="379"/>
      <c r="M158" s="469">
        <v>154</v>
      </c>
      <c r="N158" s="473"/>
      <c r="O158" s="473"/>
      <c r="P158" s="474"/>
      <c r="Q158" s="381"/>
      <c r="R158" s="380"/>
      <c r="S158" s="381"/>
      <c r="T158" s="106"/>
      <c r="U158" s="107"/>
      <c r="W158" s="377">
        <v>0</v>
      </c>
    </row>
    <row r="159" spans="1:23">
      <c r="A159" s="477">
        <v>104</v>
      </c>
      <c r="B159" s="478" t="s">
        <v>123</v>
      </c>
      <c r="C159" s="378" t="s">
        <v>365</v>
      </c>
      <c r="D159" s="387">
        <f>VLOOKUP(A159,'Evento Cotiz'!$W$49:$Y$455,3,FALSE)</f>
        <v>0</v>
      </c>
      <c r="E159" s="422">
        <f>VLOOKUP(A159,'Evento Cotiz'!$A$49:$T$459,12,FALSE)</f>
        <v>145460.42240000001</v>
      </c>
      <c r="F159" s="427">
        <f>VLOOKUP(A159,'Evento Cotiz'!$A$49:$T$459,13,FALSE)</f>
        <v>43434.428800000002</v>
      </c>
      <c r="G159" s="428">
        <f>Tabla1[[#This Row],[Cantidad]]*Tabla1[[#This Row],[P Piso]]</f>
        <v>0</v>
      </c>
      <c r="H159" s="433">
        <f>Tabla1[[#This Row],[P Piso]]-(Tabla1[[#This Row],[P Piso]]*20%)</f>
        <v>34747.543040000004</v>
      </c>
      <c r="I159" s="434">
        <f>IF((1-(Tabla1[[#This Row],[P Piso-20%]]/Tabla1[[#This Row],[P Oferta]]))=1,0,1-(Tabla1[[#This Row],[P Piso-20%]]/Tabla1[[#This Row],[P Oferta]]))</f>
        <v>0.76112029329566966</v>
      </c>
      <c r="J159" s="439">
        <f>Tabla1[[#This Row],[P Piso]]-(Tabla1[[#This Row],[P Piso]]*25%)</f>
        <v>32575.821600000003</v>
      </c>
      <c r="K159" s="440">
        <f>IF((1-(Tabla1[[#This Row],[P Piso-25%]]/Tabla1[[#This Row],[P Oferta]]))=1,0,1-(Tabla1[[#This Row],[P Piso-25%]]/Tabla1[[#This Row],[P Oferta]]))</f>
        <v>0.77605027496469026</v>
      </c>
      <c r="L159" s="379"/>
      <c r="M159" s="469">
        <v>155</v>
      </c>
      <c r="N159" s="473"/>
      <c r="O159" s="473"/>
      <c r="P159" s="474"/>
      <c r="Q159" s="381"/>
      <c r="R159" s="380"/>
      <c r="S159" s="381"/>
      <c r="T159" s="106"/>
      <c r="U159" s="107"/>
      <c r="W159" s="377">
        <v>100</v>
      </c>
    </row>
    <row r="160" spans="1:23" ht="13.5" customHeight="1">
      <c r="A160" s="477">
        <v>105</v>
      </c>
      <c r="B160" s="478" t="s">
        <v>124</v>
      </c>
      <c r="C160" s="378" t="s">
        <v>365</v>
      </c>
      <c r="D160" s="387">
        <f>VLOOKUP(A160,'Evento Cotiz'!$W$49:$Y$455,3,FALSE)</f>
        <v>0</v>
      </c>
      <c r="E160" s="422">
        <f>VLOOKUP(A160,'Evento Cotiz'!$A$49:$T$459,12,FALSE)</f>
        <v>165536.2512</v>
      </c>
      <c r="F160" s="427">
        <f>VLOOKUP(A160,'Evento Cotiz'!$A$49:$T$459,13,FALSE)</f>
        <v>785.72320000000002</v>
      </c>
      <c r="G160" s="428">
        <f>Tabla1[[#This Row],[Cantidad]]*Tabla1[[#This Row],[P Piso]]</f>
        <v>0</v>
      </c>
      <c r="H160" s="433">
        <f>Tabla1[[#This Row],[P Piso]]-(Tabla1[[#This Row],[P Piso]]*20%)</f>
        <v>628.57856000000004</v>
      </c>
      <c r="I160" s="434">
        <f>IF((1-(Tabla1[[#This Row],[P Piso-20%]]/Tabla1[[#This Row],[P Oferta]]))=1,0,1-(Tabla1[[#This Row],[P Piso-20%]]/Tabla1[[#This Row],[P Oferta]]))</f>
        <v>0.99620277398187207</v>
      </c>
      <c r="J160" s="439">
        <f>Tabla1[[#This Row],[P Piso]]-(Tabla1[[#This Row],[P Piso]]*25%)</f>
        <v>589.29240000000004</v>
      </c>
      <c r="K160" s="440">
        <f>IF((1-(Tabla1[[#This Row],[P Piso-25%]]/Tabla1[[#This Row],[P Oferta]]))=1,0,1-(Tabla1[[#This Row],[P Piso-25%]]/Tabla1[[#This Row],[P Oferta]]))</f>
        <v>0.99644010060800503</v>
      </c>
      <c r="L160" s="379"/>
      <c r="M160" s="469">
        <v>156</v>
      </c>
      <c r="N160" s="473"/>
      <c r="O160" s="473"/>
      <c r="P160" s="474"/>
      <c r="Q160" s="381"/>
      <c r="R160" s="380"/>
      <c r="S160" s="381"/>
      <c r="T160" s="106"/>
      <c r="U160" s="107"/>
      <c r="W160" s="377">
        <v>0</v>
      </c>
    </row>
    <row r="161" spans="1:23" ht="13.5" customHeight="1">
      <c r="A161" s="477">
        <v>110</v>
      </c>
      <c r="B161" s="478" t="s">
        <v>129</v>
      </c>
      <c r="C161" s="378" t="s">
        <v>365</v>
      </c>
      <c r="D161" s="387">
        <f>VLOOKUP(A161,'Evento Cotiz'!$W$49:$Y$455,3,FALSE)</f>
        <v>0</v>
      </c>
      <c r="E161" s="422">
        <f>VLOOKUP(A161,'Evento Cotiz'!$A$49:$T$459,12,FALSE)</f>
        <v>1755.0368000000001</v>
      </c>
      <c r="F161" s="427">
        <f>VLOOKUP(A161,'Evento Cotiz'!$A$49:$T$459,13,FALSE)</f>
        <v>785.72320000000002</v>
      </c>
      <c r="G161" s="428">
        <f>Tabla1[[#This Row],[Cantidad]]*Tabla1[[#This Row],[P Piso]]</f>
        <v>0</v>
      </c>
      <c r="H161" s="433">
        <f>Tabla1[[#This Row],[P Piso]]-(Tabla1[[#This Row],[P Piso]]*20%)</f>
        <v>628.57856000000004</v>
      </c>
      <c r="I161" s="434">
        <f>IF((1-(Tabla1[[#This Row],[P Piso-20%]]/Tabla1[[#This Row],[P Oferta]]))=1,0,1-(Tabla1[[#This Row],[P Piso-20%]]/Tabla1[[#This Row],[P Oferta]]))</f>
        <v>0.64184308841843096</v>
      </c>
      <c r="J161" s="439">
        <f>Tabla1[[#This Row],[P Piso]]-(Tabla1[[#This Row],[P Piso]]*25%)</f>
        <v>589.29240000000004</v>
      </c>
      <c r="K161" s="440">
        <f>IF((1-(Tabla1[[#This Row],[P Piso-25%]]/Tabla1[[#This Row],[P Oferta]]))=1,0,1-(Tabla1[[#This Row],[P Piso-25%]]/Tabla1[[#This Row],[P Oferta]]))</f>
        <v>0.66422789539227889</v>
      </c>
      <c r="L161" s="379"/>
      <c r="M161" s="469">
        <v>157</v>
      </c>
      <c r="N161" s="473"/>
      <c r="O161" s="473"/>
      <c r="P161" s="474"/>
      <c r="Q161" s="381"/>
      <c r="R161" s="380"/>
      <c r="S161" s="381"/>
      <c r="T161" s="106"/>
      <c r="U161" s="107"/>
      <c r="W161" s="377">
        <v>0</v>
      </c>
    </row>
    <row r="162" spans="1:23" ht="13.5" customHeight="1">
      <c r="A162" s="477">
        <v>111</v>
      </c>
      <c r="B162" s="478" t="s">
        <v>130</v>
      </c>
      <c r="C162" s="378" t="s">
        <v>365</v>
      </c>
      <c r="D162" s="387">
        <f>VLOOKUP(A162,'Evento Cotiz'!$W$49:$Y$455,3,FALSE)</f>
        <v>0</v>
      </c>
      <c r="E162" s="422">
        <f>VLOOKUP(A162,'Evento Cotiz'!$A$49:$T$459,12,FALSE)</f>
        <v>1755.0368000000001</v>
      </c>
      <c r="F162" s="427">
        <f>VLOOKUP(A162,'Evento Cotiz'!$A$49:$T$459,13,FALSE)</f>
        <v>785.72320000000002</v>
      </c>
      <c r="G162" s="428">
        <f>Tabla1[[#This Row],[Cantidad]]*Tabla1[[#This Row],[P Piso]]</f>
        <v>0</v>
      </c>
      <c r="H162" s="433">
        <f>Tabla1[[#This Row],[P Piso]]-(Tabla1[[#This Row],[P Piso]]*20%)</f>
        <v>628.57856000000004</v>
      </c>
      <c r="I162" s="434">
        <f>IF((1-(Tabla1[[#This Row],[P Piso-20%]]/Tabla1[[#This Row],[P Oferta]]))=1,0,1-(Tabla1[[#This Row],[P Piso-20%]]/Tabla1[[#This Row],[P Oferta]]))</f>
        <v>0.64184308841843096</v>
      </c>
      <c r="J162" s="439">
        <f>Tabla1[[#This Row],[P Piso]]-(Tabla1[[#This Row],[P Piso]]*25%)</f>
        <v>589.29240000000004</v>
      </c>
      <c r="K162" s="440">
        <f>IF((1-(Tabla1[[#This Row],[P Piso-25%]]/Tabla1[[#This Row],[P Oferta]]))=1,0,1-(Tabla1[[#This Row],[P Piso-25%]]/Tabla1[[#This Row],[P Oferta]]))</f>
        <v>0.66422789539227889</v>
      </c>
      <c r="L162" s="379"/>
      <c r="M162" s="469">
        <v>158</v>
      </c>
      <c r="N162" s="473"/>
      <c r="O162" s="473"/>
      <c r="P162" s="474"/>
      <c r="Q162" s="381"/>
      <c r="R162" s="380"/>
      <c r="S162" s="381"/>
      <c r="T162" s="106"/>
      <c r="U162" s="107"/>
      <c r="W162" s="377">
        <v>0</v>
      </c>
    </row>
    <row r="163" spans="1:23" ht="13.5" customHeight="1">
      <c r="A163" s="477">
        <v>116</v>
      </c>
      <c r="B163" s="478" t="s">
        <v>135</v>
      </c>
      <c r="C163" s="378" t="s">
        <v>365</v>
      </c>
      <c r="D163" s="387">
        <f>VLOOKUP(A163,'Evento Cotiz'!$W$49:$Y$455,3,FALSE)</f>
        <v>0</v>
      </c>
      <c r="E163" s="422">
        <f>VLOOKUP(A163,'Evento Cotiz'!$A$49:$T$459,12,FALSE)</f>
        <v>4351.5295999999998</v>
      </c>
      <c r="F163" s="427">
        <f>VLOOKUP(A163,'Evento Cotiz'!$A$49:$T$459,13,FALSE)</f>
        <v>1416.2688000000001</v>
      </c>
      <c r="G163" s="428">
        <f>Tabla1[[#This Row],[Cantidad]]*Tabla1[[#This Row],[P Piso]]</f>
        <v>0</v>
      </c>
      <c r="H163" s="433">
        <f>Tabla1[[#This Row],[P Piso]]-(Tabla1[[#This Row],[P Piso]]*20%)</f>
        <v>1133.01504</v>
      </c>
      <c r="I163" s="434">
        <f>IF((1-(Tabla1[[#This Row],[P Piso-20%]]/Tabla1[[#This Row],[P Oferta]]))=1,0,1-(Tabla1[[#This Row],[P Piso-20%]]/Tabla1[[#This Row],[P Oferta]]))</f>
        <v>0.73962832747363128</v>
      </c>
      <c r="J163" s="439">
        <f>Tabla1[[#This Row],[P Piso]]-(Tabla1[[#This Row],[P Piso]]*25%)</f>
        <v>1062.2016000000001</v>
      </c>
      <c r="K163" s="440">
        <f>IF((1-(Tabla1[[#This Row],[P Piso-25%]]/Tabla1[[#This Row],[P Oferta]]))=1,0,1-(Tabla1[[#This Row],[P Piso-25%]]/Tabla1[[#This Row],[P Oferta]]))</f>
        <v>0.75590155700652939</v>
      </c>
      <c r="L163" s="379"/>
      <c r="M163" s="469">
        <v>159</v>
      </c>
      <c r="N163" s="473"/>
      <c r="O163" s="473"/>
      <c r="P163" s="474"/>
      <c r="Q163" s="381"/>
      <c r="R163" s="380"/>
      <c r="S163" s="381"/>
      <c r="T163" s="106"/>
      <c r="U163" s="107"/>
      <c r="W163" s="377">
        <v>0</v>
      </c>
    </row>
    <row r="164" spans="1:23" ht="13.5" customHeight="1">
      <c r="A164" s="477">
        <v>117</v>
      </c>
      <c r="B164" s="478" t="s">
        <v>136</v>
      </c>
      <c r="C164" s="378" t="s">
        <v>365</v>
      </c>
      <c r="D164" s="387">
        <f>VLOOKUP(A164,'Evento Cotiz'!$W$49:$Y$455,3,FALSE)</f>
        <v>0</v>
      </c>
      <c r="E164" s="422">
        <f>VLOOKUP(A164,'Evento Cotiz'!$A$49:$T$459,12,FALSE)</f>
        <v>4177.7744000000002</v>
      </c>
      <c r="F164" s="427">
        <f>VLOOKUP(A164,'Evento Cotiz'!$A$49:$T$459,13,FALSE)</f>
        <v>1416.2688000000001</v>
      </c>
      <c r="G164" s="428">
        <f>Tabla1[[#This Row],[Cantidad]]*Tabla1[[#This Row],[P Piso]]</f>
        <v>0</v>
      </c>
      <c r="H164" s="433">
        <f>Tabla1[[#This Row],[P Piso]]-(Tabla1[[#This Row],[P Piso]]*20%)</f>
        <v>1133.01504</v>
      </c>
      <c r="I164" s="434">
        <f>IF((1-(Tabla1[[#This Row],[P Piso-20%]]/Tabla1[[#This Row],[P Oferta]]))=1,0,1-(Tabla1[[#This Row],[P Piso-20%]]/Tabla1[[#This Row],[P Oferta]]))</f>
        <v>0.72879937222076907</v>
      </c>
      <c r="J164" s="439">
        <f>Tabla1[[#This Row],[P Piso]]-(Tabla1[[#This Row],[P Piso]]*25%)</f>
        <v>1062.2016000000001</v>
      </c>
      <c r="K164" s="440">
        <f>IF((1-(Tabla1[[#This Row],[P Piso-25%]]/Tabla1[[#This Row],[P Oferta]]))=1,0,1-(Tabla1[[#This Row],[P Piso-25%]]/Tabla1[[#This Row],[P Oferta]]))</f>
        <v>0.74574941145697093</v>
      </c>
      <c r="L164" s="379"/>
      <c r="M164" s="469">
        <v>160</v>
      </c>
      <c r="N164" s="473"/>
      <c r="O164" s="473"/>
      <c r="P164" s="474"/>
      <c r="Q164" s="381"/>
      <c r="R164" s="380"/>
      <c r="S164" s="381"/>
      <c r="T164" s="106"/>
      <c r="U164" s="107"/>
      <c r="W164" s="377">
        <v>0</v>
      </c>
    </row>
    <row r="165" spans="1:23" ht="13.5" customHeight="1">
      <c r="A165" s="477">
        <v>122</v>
      </c>
      <c r="B165" s="478" t="s">
        <v>141</v>
      </c>
      <c r="C165" s="378" t="s">
        <v>365</v>
      </c>
      <c r="D165" s="387">
        <f>VLOOKUP(A165,'Evento Cotiz'!$W$49:$Y$455,3,FALSE)</f>
        <v>0</v>
      </c>
      <c r="E165" s="422">
        <f>VLOOKUP(A165,'Evento Cotiz'!$A$49:$T$459,12,FALSE)</f>
        <v>5266.2031999999999</v>
      </c>
      <c r="F165" s="427">
        <f>VLOOKUP(A165,'Evento Cotiz'!$A$49:$T$459,13,FALSE)</f>
        <v>1928.7919999999999</v>
      </c>
      <c r="G165" s="428">
        <f>Tabla1[[#This Row],[Cantidad]]*Tabla1[[#This Row],[P Piso]]</f>
        <v>0</v>
      </c>
      <c r="H165" s="433">
        <f>Tabla1[[#This Row],[P Piso]]-(Tabla1[[#This Row],[P Piso]]*20%)</f>
        <v>1543.0336</v>
      </c>
      <c r="I165" s="434">
        <f>IF((1-(Tabla1[[#This Row],[P Piso-20%]]/Tabla1[[#This Row],[P Oferta]]))=1,0,1-(Tabla1[[#This Row],[P Piso-20%]]/Tabla1[[#This Row],[P Oferta]]))</f>
        <v>0.70699315210624614</v>
      </c>
      <c r="J165" s="439">
        <f>Tabla1[[#This Row],[P Piso]]-(Tabla1[[#This Row],[P Piso]]*25%)</f>
        <v>1446.5940000000001</v>
      </c>
      <c r="K165" s="440">
        <f>IF((1-(Tabla1[[#This Row],[P Piso-25%]]/Tabla1[[#This Row],[P Oferta]]))=1,0,1-(Tabla1[[#This Row],[P Piso-25%]]/Tabla1[[#This Row],[P Oferta]]))</f>
        <v>0.72530608009960573</v>
      </c>
      <c r="L165" s="379"/>
      <c r="M165" s="469">
        <v>161</v>
      </c>
      <c r="N165" s="473"/>
      <c r="O165" s="473"/>
      <c r="P165" s="474"/>
      <c r="Q165" s="381"/>
      <c r="R165" s="380"/>
      <c r="S165" s="381"/>
      <c r="T165" s="106"/>
      <c r="U165" s="107"/>
      <c r="W165" s="377">
        <v>0</v>
      </c>
    </row>
    <row r="166" spans="1:23" ht="13.5" customHeight="1">
      <c r="A166" s="477">
        <v>123</v>
      </c>
      <c r="B166" s="478" t="s">
        <v>142</v>
      </c>
      <c r="C166" s="378" t="s">
        <v>365</v>
      </c>
      <c r="D166" s="387">
        <f>VLOOKUP(A166,'Evento Cotiz'!$W$49:$Y$455,3,FALSE)</f>
        <v>0</v>
      </c>
      <c r="E166" s="422">
        <f>VLOOKUP(A166,'Evento Cotiz'!$A$49:$T$459,12,FALSE)</f>
        <v>5291.3375999999998</v>
      </c>
      <c r="F166" s="427">
        <f>VLOOKUP(A166,'Evento Cotiz'!$A$49:$T$459,13,FALSE)</f>
        <v>1928.7919999999999</v>
      </c>
      <c r="G166" s="428">
        <f>Tabla1[[#This Row],[Cantidad]]*Tabla1[[#This Row],[P Piso]]</f>
        <v>0</v>
      </c>
      <c r="H166" s="433">
        <f>Tabla1[[#This Row],[P Piso]]-(Tabla1[[#This Row],[P Piso]]*20%)</f>
        <v>1543.0336</v>
      </c>
      <c r="I166" s="434">
        <f>IF((1-(Tabla1[[#This Row],[P Piso-20%]]/Tabla1[[#This Row],[P Oferta]]))=1,0,1-(Tabla1[[#This Row],[P Piso-20%]]/Tabla1[[#This Row],[P Oferta]]))</f>
        <v>0.70838496489054115</v>
      </c>
      <c r="J166" s="439">
        <f>Tabla1[[#This Row],[P Piso]]-(Tabla1[[#This Row],[P Piso]]*25%)</f>
        <v>1446.5940000000001</v>
      </c>
      <c r="K166" s="440">
        <f>IF((1-(Tabla1[[#This Row],[P Piso-25%]]/Tabla1[[#This Row],[P Oferta]]))=1,0,1-(Tabla1[[#This Row],[P Piso-25%]]/Tabla1[[#This Row],[P Oferta]]))</f>
        <v>0.72661090458488231</v>
      </c>
      <c r="L166" s="379"/>
      <c r="M166" s="469">
        <v>162</v>
      </c>
      <c r="N166" s="473"/>
      <c r="O166" s="473"/>
      <c r="P166" s="474"/>
      <c r="Q166" s="381"/>
      <c r="R166" s="380"/>
      <c r="S166" s="381"/>
      <c r="T166" s="106"/>
      <c r="U166" s="107"/>
      <c r="W166" s="377">
        <v>0</v>
      </c>
    </row>
    <row r="167" spans="1:23" ht="13.5" customHeight="1">
      <c r="A167" s="477">
        <v>128</v>
      </c>
      <c r="B167" s="478" t="s">
        <v>147</v>
      </c>
      <c r="C167" s="378" t="s">
        <v>365</v>
      </c>
      <c r="D167" s="387">
        <f>VLOOKUP(A167,'Evento Cotiz'!$W$49:$Y$455,3,FALSE)</f>
        <v>0</v>
      </c>
      <c r="E167" s="422">
        <f>VLOOKUP(A167,'Evento Cotiz'!$A$49:$T$459,12,FALSE)</f>
        <v>8480.1280000000006</v>
      </c>
      <c r="F167" s="427">
        <f>VLOOKUP(A167,'Evento Cotiz'!$A$49:$T$459,13,FALSE)</f>
        <v>3018.3136</v>
      </c>
      <c r="G167" s="428">
        <f>Tabla1[[#This Row],[Cantidad]]*Tabla1[[#This Row],[P Piso]]</f>
        <v>0</v>
      </c>
      <c r="H167" s="433">
        <f>Tabla1[[#This Row],[P Piso]]-(Tabla1[[#This Row],[P Piso]]*20%)</f>
        <v>2414.6508800000001</v>
      </c>
      <c r="I167" s="434">
        <f>IF((1-(Tabla1[[#This Row],[P Piso-20%]]/Tabla1[[#This Row],[P Oferta]]))=1,0,1-(Tabla1[[#This Row],[P Piso-20%]]/Tabla1[[#This Row],[P Oferta]]))</f>
        <v>0.71525773195876297</v>
      </c>
      <c r="J167" s="439">
        <f>Tabla1[[#This Row],[P Piso]]-(Tabla1[[#This Row],[P Piso]]*25%)</f>
        <v>2263.7352000000001</v>
      </c>
      <c r="K167" s="440">
        <f>IF((1-(Tabla1[[#This Row],[P Piso-25%]]/Tabla1[[#This Row],[P Oferta]]))=1,0,1-(Tabla1[[#This Row],[P Piso-25%]]/Tabla1[[#This Row],[P Oferta]]))</f>
        <v>0.73305412371134016</v>
      </c>
      <c r="L167" s="379"/>
      <c r="M167" s="469">
        <v>163</v>
      </c>
      <c r="N167" s="473"/>
      <c r="O167" s="473"/>
      <c r="P167" s="474"/>
      <c r="Q167" s="381"/>
      <c r="R167" s="380"/>
      <c r="S167" s="381"/>
      <c r="T167" s="106"/>
      <c r="U167" s="107"/>
      <c r="W167" s="377">
        <v>0</v>
      </c>
    </row>
    <row r="168" spans="1:23" ht="13.5" customHeight="1">
      <c r="A168" s="477">
        <v>129</v>
      </c>
      <c r="B168" s="478" t="s">
        <v>148</v>
      </c>
      <c r="C168" s="378" t="s">
        <v>365</v>
      </c>
      <c r="D168" s="387">
        <f>VLOOKUP(A168,'Evento Cotiz'!$W$49:$Y$455,3,FALSE)</f>
        <v>0</v>
      </c>
      <c r="E168" s="422">
        <f>VLOOKUP(A168,'Evento Cotiz'!$A$49:$T$459,12,FALSE)</f>
        <v>8529.3040000000001</v>
      </c>
      <c r="F168" s="427">
        <f>VLOOKUP(A168,'Evento Cotiz'!$A$49:$T$459,13,FALSE)</f>
        <v>2716.7008000000001</v>
      </c>
      <c r="G168" s="428">
        <f>Tabla1[[#This Row],[Cantidad]]*Tabla1[[#This Row],[P Piso]]</f>
        <v>0</v>
      </c>
      <c r="H168" s="433">
        <f>Tabla1[[#This Row],[P Piso]]-(Tabla1[[#This Row],[P Piso]]*20%)</f>
        <v>2173.3606399999999</v>
      </c>
      <c r="I168" s="434">
        <f>IF((1-(Tabla1[[#This Row],[P Piso-20%]]/Tabla1[[#This Row],[P Oferta]]))=1,0,1-(Tabla1[[#This Row],[P Piso-20%]]/Tabla1[[#This Row],[P Oferta]]))</f>
        <v>0.74518898142216528</v>
      </c>
      <c r="J168" s="439">
        <f>Tabla1[[#This Row],[P Piso]]-(Tabla1[[#This Row],[P Piso]]*25%)</f>
        <v>2037.5255999999999</v>
      </c>
      <c r="K168" s="440">
        <f>IF((1-(Tabla1[[#This Row],[P Piso-25%]]/Tabla1[[#This Row],[P Oferta]]))=1,0,1-(Tabla1[[#This Row],[P Piso-25%]]/Tabla1[[#This Row],[P Oferta]]))</f>
        <v>0.76111467008327993</v>
      </c>
      <c r="L168" s="379"/>
      <c r="M168" s="469">
        <v>164</v>
      </c>
      <c r="N168" s="473"/>
      <c r="O168" s="473"/>
      <c r="P168" s="474"/>
      <c r="Q168" s="381"/>
      <c r="R168" s="380"/>
      <c r="S168" s="381"/>
      <c r="T168" s="106"/>
      <c r="U168" s="107"/>
      <c r="W168" s="377">
        <v>0</v>
      </c>
    </row>
    <row r="169" spans="1:23" ht="13.5" customHeight="1">
      <c r="A169" s="477">
        <v>131</v>
      </c>
      <c r="B169" s="478" t="s">
        <v>150</v>
      </c>
      <c r="C169" s="378" t="s">
        <v>365</v>
      </c>
      <c r="D169" s="387">
        <f>VLOOKUP(A169,'Evento Cotiz'!$W$49:$Y$455,3,FALSE)</f>
        <v>0</v>
      </c>
      <c r="E169" s="422">
        <f>VLOOKUP(A169,'Evento Cotiz'!$A$49:$T$459,12,FALSE)</f>
        <v>6872.6192000000001</v>
      </c>
      <c r="F169" s="427">
        <f>VLOOKUP(A169,'Evento Cotiz'!$A$49:$T$459,13,FALSE)</f>
        <v>3281.6783999999998</v>
      </c>
      <c r="G169" s="428">
        <f>Tabla1[[#This Row],[Cantidad]]*Tabla1[[#This Row],[P Piso]]</f>
        <v>0</v>
      </c>
      <c r="H169" s="433">
        <f>Tabla1[[#This Row],[P Piso]]-(Tabla1[[#This Row],[P Piso]]*20%)</f>
        <v>2625.3427199999996</v>
      </c>
      <c r="I169" s="434">
        <f>IF((1-(Tabla1[[#This Row],[P Piso-20%]]/Tabla1[[#This Row],[P Oferta]]))=1,0,1-(Tabla1[[#This Row],[P Piso-20%]]/Tabla1[[#This Row],[P Oferta]]))</f>
        <v>0.61799968198441735</v>
      </c>
      <c r="J169" s="439">
        <f>Tabla1[[#This Row],[P Piso]]-(Tabla1[[#This Row],[P Piso]]*25%)</f>
        <v>2461.2587999999996</v>
      </c>
      <c r="K169" s="440">
        <f>IF((1-(Tabla1[[#This Row],[P Piso-25%]]/Tabla1[[#This Row],[P Oferta]]))=1,0,1-(Tabla1[[#This Row],[P Piso-25%]]/Tabla1[[#This Row],[P Oferta]]))</f>
        <v>0.64187470186039119</v>
      </c>
      <c r="L169" s="379"/>
      <c r="M169" s="469">
        <v>165</v>
      </c>
      <c r="N169" s="473"/>
      <c r="O169" s="473"/>
      <c r="P169" s="474"/>
      <c r="Q169" s="381"/>
      <c r="R169" s="380"/>
      <c r="S169" s="381"/>
      <c r="T169" s="106"/>
      <c r="U169" s="107"/>
      <c r="W169" s="377">
        <v>0</v>
      </c>
    </row>
    <row r="170" spans="1:23" ht="13.5" customHeight="1">
      <c r="A170" s="477">
        <v>135</v>
      </c>
      <c r="B170" s="478" t="s">
        <v>154</v>
      </c>
      <c r="C170" s="378" t="s">
        <v>365</v>
      </c>
      <c r="D170" s="387">
        <f>VLOOKUP(A170,'Evento Cotiz'!$W$49:$Y$455,3,FALSE)</f>
        <v>0</v>
      </c>
      <c r="E170" s="422">
        <f>VLOOKUP(A170,'Evento Cotiz'!$A$49:$T$459,12,FALSE)</f>
        <v>50312.512000000002</v>
      </c>
      <c r="F170" s="427">
        <f>VLOOKUP(A170,'Evento Cotiz'!$A$49:$T$459,13,FALSE)</f>
        <v>21130.380799999999</v>
      </c>
      <c r="G170" s="428">
        <f>Tabla1[[#This Row],[Cantidad]]*Tabla1[[#This Row],[P Piso]]</f>
        <v>0</v>
      </c>
      <c r="H170" s="433">
        <f>Tabla1[[#This Row],[P Piso]]-(Tabla1[[#This Row],[P Piso]]*20%)</f>
        <v>16904.304639999998</v>
      </c>
      <c r="I170" s="434">
        <f>IF((1-(Tabla1[[#This Row],[P Piso-20%]]/Tabla1[[#This Row],[P Oferta]]))=1,0,1-(Tabla1[[#This Row],[P Piso-20%]]/Tabla1[[#This Row],[P Oferta]]))</f>
        <v>0.66401390095569068</v>
      </c>
      <c r="J170" s="439">
        <f>Tabla1[[#This Row],[P Piso]]-(Tabla1[[#This Row],[P Piso]]*25%)</f>
        <v>15847.785599999999</v>
      </c>
      <c r="K170" s="440">
        <f>IF((1-(Tabla1[[#This Row],[P Piso-25%]]/Tabla1[[#This Row],[P Oferta]]))=1,0,1-(Tabla1[[#This Row],[P Piso-25%]]/Tabla1[[#This Row],[P Oferta]]))</f>
        <v>0.68501303214595999</v>
      </c>
      <c r="L170" s="379"/>
      <c r="M170" s="469">
        <v>166</v>
      </c>
      <c r="N170" s="473"/>
      <c r="O170" s="473"/>
      <c r="P170" s="474"/>
      <c r="Q170" s="381"/>
      <c r="R170" s="380"/>
      <c r="S170" s="381"/>
      <c r="T170" s="106"/>
      <c r="U170" s="107"/>
      <c r="W170" s="377">
        <v>0</v>
      </c>
    </row>
    <row r="171" spans="1:23" ht="13.5" customHeight="1">
      <c r="A171" s="477">
        <v>136</v>
      </c>
      <c r="B171" s="478" t="s">
        <v>155</v>
      </c>
      <c r="C171" s="378" t="s">
        <v>365</v>
      </c>
      <c r="D171" s="387">
        <f>VLOOKUP(A171,'Evento Cotiz'!$W$49:$Y$455,3,FALSE)</f>
        <v>0</v>
      </c>
      <c r="E171" s="422">
        <f>VLOOKUP(A171,'Evento Cotiz'!$A$49:$T$459,12,FALSE)</f>
        <v>17813.732800000002</v>
      </c>
      <c r="F171" s="427">
        <f>VLOOKUP(A171,'Evento Cotiz'!$A$49:$T$459,13,FALSE)</f>
        <v>7663.8063999999995</v>
      </c>
      <c r="G171" s="428">
        <f>Tabla1[[#This Row],[Cantidad]]*Tabla1[[#This Row],[P Piso]]</f>
        <v>0</v>
      </c>
      <c r="H171" s="433">
        <f>Tabla1[[#This Row],[P Piso]]-(Tabla1[[#This Row],[P Piso]]*20%)</f>
        <v>6131.0451199999998</v>
      </c>
      <c r="I171" s="434">
        <f>IF((1-(Tabla1[[#This Row],[P Piso-20%]]/Tabla1[[#This Row],[P Oferta]]))=1,0,1-(Tabla1[[#This Row],[P Piso-20%]]/Tabla1[[#This Row],[P Oferta]]))</f>
        <v>0.65582479602478383</v>
      </c>
      <c r="J171" s="439">
        <f>Tabla1[[#This Row],[P Piso]]-(Tabla1[[#This Row],[P Piso]]*25%)</f>
        <v>5747.8547999999992</v>
      </c>
      <c r="K171" s="440">
        <f>IF((1-(Tabla1[[#This Row],[P Piso-25%]]/Tabla1[[#This Row],[P Oferta]]))=1,0,1-(Tabla1[[#This Row],[P Piso-25%]]/Tabla1[[#This Row],[P Oferta]]))</f>
        <v>0.67733574627323478</v>
      </c>
      <c r="L171" s="379"/>
      <c r="M171" s="469">
        <v>167</v>
      </c>
      <c r="N171" s="473"/>
      <c r="O171" s="473"/>
      <c r="P171" s="474"/>
      <c r="Q171" s="381"/>
      <c r="R171" s="380"/>
      <c r="S171" s="381"/>
      <c r="T171" s="106"/>
      <c r="U171" s="107"/>
      <c r="W171" s="377">
        <v>0</v>
      </c>
    </row>
    <row r="172" spans="1:23" ht="13.5" customHeight="1">
      <c r="A172" s="477">
        <v>137</v>
      </c>
      <c r="B172" s="478" t="s">
        <v>156</v>
      </c>
      <c r="C172" s="378" t="s">
        <v>365</v>
      </c>
      <c r="D172" s="387">
        <f>VLOOKUP(A172,'Evento Cotiz'!$W$49:$Y$455,3,FALSE)</f>
        <v>0</v>
      </c>
      <c r="E172" s="422">
        <f>VLOOKUP(A172,'Evento Cotiz'!$A$49:$T$459,12,FALSE)</f>
        <v>36268.939200000001</v>
      </c>
      <c r="F172" s="427">
        <f>VLOOKUP(A172,'Evento Cotiz'!$A$49:$T$459,13,FALSE)</f>
        <v>19124</v>
      </c>
      <c r="G172" s="428">
        <f>Tabla1[[#This Row],[Cantidad]]*Tabla1[[#This Row],[P Piso]]</f>
        <v>0</v>
      </c>
      <c r="H172" s="433">
        <f>Tabla1[[#This Row],[P Piso]]-(Tabla1[[#This Row],[P Piso]]*20%)</f>
        <v>15299.2</v>
      </c>
      <c r="I172" s="434">
        <f>IF((1-(Tabla1[[#This Row],[P Piso-20%]]/Tabla1[[#This Row],[P Oferta]]))=1,0,1-(Tabla1[[#This Row],[P Piso-20%]]/Tabla1[[#This Row],[P Oferta]]))</f>
        <v>0.57817349121696948</v>
      </c>
      <c r="J172" s="439">
        <f>Tabla1[[#This Row],[P Piso]]-(Tabla1[[#This Row],[P Piso]]*25%)</f>
        <v>14343</v>
      </c>
      <c r="K172" s="440">
        <f>IF((1-(Tabla1[[#This Row],[P Piso-25%]]/Tabla1[[#This Row],[P Oferta]]))=1,0,1-(Tabla1[[#This Row],[P Piso-25%]]/Tabla1[[#This Row],[P Oferta]]))</f>
        <v>0.60453764801590881</v>
      </c>
      <c r="L172" s="379"/>
      <c r="M172" s="469">
        <v>168</v>
      </c>
      <c r="N172" s="473"/>
      <c r="O172" s="473"/>
      <c r="P172" s="474"/>
      <c r="Q172" s="381"/>
      <c r="R172" s="380"/>
      <c r="S172" s="381"/>
      <c r="T172" s="106"/>
      <c r="U172" s="107"/>
      <c r="W172" s="377">
        <v>0</v>
      </c>
    </row>
    <row r="173" spans="1:23" ht="13.5" customHeight="1">
      <c r="A173" s="477">
        <v>138</v>
      </c>
      <c r="B173" s="478" t="s">
        <v>157</v>
      </c>
      <c r="C173" s="378" t="s">
        <v>365</v>
      </c>
      <c r="D173" s="387">
        <f>VLOOKUP(A173,'Evento Cotiz'!$W$49:$Y$455,3,FALSE)</f>
        <v>0</v>
      </c>
      <c r="E173" s="422">
        <f>VLOOKUP(A173,'Evento Cotiz'!$A$49:$T$459,12,FALSE)</f>
        <v>9085.5391999999993</v>
      </c>
      <c r="F173" s="427">
        <f>VLOOKUP(A173,'Evento Cotiz'!$A$49:$T$459,13,FALSE)</f>
        <v>2719.9791999999998</v>
      </c>
      <c r="G173" s="428">
        <f>Tabla1[[#This Row],[Cantidad]]*Tabla1[[#This Row],[P Piso]]</f>
        <v>0</v>
      </c>
      <c r="H173" s="433">
        <f>Tabla1[[#This Row],[P Piso]]-(Tabla1[[#This Row],[P Piso]]*20%)</f>
        <v>2175.9833599999997</v>
      </c>
      <c r="I173" s="434">
        <f>IF((1-(Tabla1[[#This Row],[P Piso-20%]]/Tabla1[[#This Row],[P Oferta]]))=1,0,1-(Tabla1[[#This Row],[P Piso-20%]]/Tabla1[[#This Row],[P Oferta]]))</f>
        <v>0.76050036083714212</v>
      </c>
      <c r="J173" s="439">
        <f>Tabla1[[#This Row],[P Piso]]-(Tabla1[[#This Row],[P Piso]]*25%)</f>
        <v>2039.9843999999998</v>
      </c>
      <c r="K173" s="440">
        <f>IF((1-(Tabla1[[#This Row],[P Piso-25%]]/Tabla1[[#This Row],[P Oferta]]))=1,0,1-(Tabla1[[#This Row],[P Piso-25%]]/Tabla1[[#This Row],[P Oferta]]))</f>
        <v>0.77546908828482075</v>
      </c>
      <c r="L173" s="379"/>
      <c r="M173" s="469">
        <v>169</v>
      </c>
      <c r="N173" s="473"/>
      <c r="O173" s="473"/>
      <c r="P173" s="474"/>
      <c r="Q173" s="381"/>
      <c r="R173" s="380"/>
      <c r="S173" s="381"/>
      <c r="T173" s="106"/>
      <c r="U173" s="107"/>
      <c r="W173" s="377">
        <v>0</v>
      </c>
    </row>
    <row r="174" spans="1:23">
      <c r="A174" s="477">
        <v>139</v>
      </c>
      <c r="B174" s="478" t="s">
        <v>158</v>
      </c>
      <c r="C174" s="378" t="s">
        <v>365</v>
      </c>
      <c r="D174" s="387">
        <f>VLOOKUP(A174,'Evento Cotiz'!$W$49:$Y$455,3,FALSE)</f>
        <v>0</v>
      </c>
      <c r="E174" s="422">
        <f>VLOOKUP(A174,'Evento Cotiz'!$A$49:$T$459,12,FALSE)</f>
        <v>20397.112000000001</v>
      </c>
      <c r="F174" s="427">
        <f>VLOOKUP(A174,'Evento Cotiz'!$A$49:$T$459,13,FALSE)</f>
        <v>8532.5823999999993</v>
      </c>
      <c r="G174" s="428">
        <f>Tabla1[[#This Row],[Cantidad]]*Tabla1[[#This Row],[P Piso]]</f>
        <v>0</v>
      </c>
      <c r="H174" s="433">
        <f>Tabla1[[#This Row],[P Piso]]-(Tabla1[[#This Row],[P Piso]]*20%)</f>
        <v>6826.0659199999991</v>
      </c>
      <c r="I174" s="434">
        <f>IF((1-(Tabla1[[#This Row],[P Piso-20%]]/Tabla1[[#This Row],[P Oferta]]))=1,0,1-(Tabla1[[#This Row],[P Piso-20%]]/Tabla1[[#This Row],[P Oferta]]))</f>
        <v>0.66534154835253156</v>
      </c>
      <c r="J174" s="439">
        <f>Tabla1[[#This Row],[P Piso]]-(Tabla1[[#This Row],[P Piso]]*25%)</f>
        <v>6399.4367999999995</v>
      </c>
      <c r="K174" s="440">
        <f>IF((1-(Tabla1[[#This Row],[P Piso-25%]]/Tabla1[[#This Row],[P Oferta]]))=1,0,1-(Tabla1[[#This Row],[P Piso-25%]]/Tabla1[[#This Row],[P Oferta]]))</f>
        <v>0.68625770158049826</v>
      </c>
      <c r="L174" s="379"/>
      <c r="M174" s="469">
        <v>170</v>
      </c>
      <c r="N174" s="473"/>
      <c r="O174" s="473"/>
      <c r="P174" s="474"/>
      <c r="Q174" s="381"/>
      <c r="R174" s="380"/>
      <c r="S174" s="381"/>
      <c r="T174" s="106"/>
      <c r="U174" s="107"/>
      <c r="W174" s="377">
        <v>30</v>
      </c>
    </row>
    <row r="175" spans="1:23" ht="13.5" customHeight="1">
      <c r="A175" s="477">
        <v>140</v>
      </c>
      <c r="B175" s="478" t="s">
        <v>159</v>
      </c>
      <c r="C175" s="378" t="s">
        <v>365</v>
      </c>
      <c r="D175" s="387">
        <f>VLOOKUP(A175,'Evento Cotiz'!$W$49:$Y$455,3,FALSE)</f>
        <v>0</v>
      </c>
      <c r="E175" s="422">
        <f>VLOOKUP(A175,'Evento Cotiz'!$A$49:$T$459,12,FALSE)</f>
        <v>28184.4048</v>
      </c>
      <c r="F175" s="427">
        <f>VLOOKUP(A175,'Evento Cotiz'!$A$49:$T$459,13,FALSE)</f>
        <v>12980.278399999999</v>
      </c>
      <c r="G175" s="428">
        <f>Tabla1[[#This Row],[Cantidad]]*Tabla1[[#This Row],[P Piso]]</f>
        <v>0</v>
      </c>
      <c r="H175" s="433">
        <f>Tabla1[[#This Row],[P Piso]]-(Tabla1[[#This Row],[P Piso]]*20%)</f>
        <v>10384.22272</v>
      </c>
      <c r="I175" s="434">
        <f>IF((1-(Tabla1[[#This Row],[P Piso-20%]]/Tabla1[[#This Row],[P Oferta]]))=1,0,1-(Tabla1[[#This Row],[P Piso-20%]]/Tabla1[[#This Row],[P Oferta]]))</f>
        <v>0.63156139738668526</v>
      </c>
      <c r="J175" s="439">
        <f>Tabla1[[#This Row],[P Piso]]-(Tabla1[[#This Row],[P Piso]]*25%)</f>
        <v>9735.2088000000003</v>
      </c>
      <c r="K175" s="440">
        <f>IF((1-(Tabla1[[#This Row],[P Piso-25%]]/Tabla1[[#This Row],[P Oferta]]))=1,0,1-(Tabla1[[#This Row],[P Piso-25%]]/Tabla1[[#This Row],[P Oferta]]))</f>
        <v>0.65458881005001746</v>
      </c>
      <c r="L175" s="379"/>
      <c r="M175" s="469">
        <v>171</v>
      </c>
      <c r="N175" s="473"/>
      <c r="O175" s="473"/>
      <c r="P175" s="474"/>
      <c r="Q175" s="381"/>
      <c r="R175" s="380"/>
      <c r="S175" s="381"/>
      <c r="T175" s="106"/>
      <c r="U175" s="107"/>
      <c r="W175" s="377">
        <v>0</v>
      </c>
    </row>
    <row r="176" spans="1:23" ht="13.5" customHeight="1">
      <c r="A176" s="477">
        <v>142</v>
      </c>
      <c r="B176" s="478" t="s">
        <v>161</v>
      </c>
      <c r="C176" s="378" t="s">
        <v>365</v>
      </c>
      <c r="D176" s="387">
        <f>VLOOKUP(A176,'Evento Cotiz'!$W$49:$Y$455,3,FALSE)</f>
        <v>0</v>
      </c>
      <c r="E176" s="422">
        <f>VLOOKUP(A176,'Evento Cotiz'!$A$49:$T$459,12,FALSE)</f>
        <v>19692.256000000001</v>
      </c>
      <c r="F176" s="427">
        <f>VLOOKUP(A176,'Evento Cotiz'!$A$49:$T$459,13,FALSE)</f>
        <v>8701.9663999999993</v>
      </c>
      <c r="G176" s="428">
        <f>Tabla1[[#This Row],[Cantidad]]*Tabla1[[#This Row],[P Piso]]</f>
        <v>0</v>
      </c>
      <c r="H176" s="433">
        <f>Tabla1[[#This Row],[P Piso]]-(Tabla1[[#This Row],[P Piso]]*20%)</f>
        <v>6961.5731199999991</v>
      </c>
      <c r="I176" s="434">
        <f>IF((1-(Tabla1[[#This Row],[P Piso-20%]]/Tabla1[[#This Row],[P Oferta]]))=1,0,1-(Tabla1[[#This Row],[P Piso-20%]]/Tabla1[[#This Row],[P Oferta]]))</f>
        <v>0.64648168701442854</v>
      </c>
      <c r="J176" s="439">
        <f>Tabla1[[#This Row],[P Piso]]-(Tabla1[[#This Row],[P Piso]]*25%)</f>
        <v>6526.4748</v>
      </c>
      <c r="K176" s="440">
        <f>IF((1-(Tabla1[[#This Row],[P Piso-25%]]/Tabla1[[#This Row],[P Oferta]]))=1,0,1-(Tabla1[[#This Row],[P Piso-25%]]/Tabla1[[#This Row],[P Oferta]]))</f>
        <v>0.66857658157602673</v>
      </c>
      <c r="L176" s="379"/>
      <c r="M176" s="469">
        <v>172</v>
      </c>
      <c r="N176" s="473"/>
      <c r="O176" s="473"/>
      <c r="P176" s="474"/>
      <c r="Q176" s="381"/>
      <c r="R176" s="380"/>
      <c r="S176" s="381"/>
      <c r="T176" s="106"/>
      <c r="U176" s="107"/>
      <c r="W176" s="377">
        <v>0</v>
      </c>
    </row>
    <row r="177" spans="1:23" ht="13.5" customHeight="1">
      <c r="A177" s="477">
        <v>145</v>
      </c>
      <c r="B177" s="478" t="s">
        <v>164</v>
      </c>
      <c r="C177" s="378" t="s">
        <v>365</v>
      </c>
      <c r="D177" s="387">
        <f>VLOOKUP(A177,'Evento Cotiz'!$W$49:$Y$455,3,FALSE)</f>
        <v>0</v>
      </c>
      <c r="E177" s="422">
        <f>VLOOKUP(A177,'Evento Cotiz'!$A$49:$T$459,12,FALSE)</f>
        <v>23350.950400000002</v>
      </c>
      <c r="F177" s="427">
        <f>VLOOKUP(A177,'Evento Cotiz'!$A$49:$T$459,13,FALSE)</f>
        <v>11247.097599999999</v>
      </c>
      <c r="G177" s="428">
        <f>Tabla1[[#This Row],[Cantidad]]*Tabla1[[#This Row],[P Piso]]</f>
        <v>0</v>
      </c>
      <c r="H177" s="433">
        <f>Tabla1[[#This Row],[P Piso]]-(Tabla1[[#This Row],[P Piso]]*20%)</f>
        <v>8997.6780799999997</v>
      </c>
      <c r="I177" s="434">
        <f>IF((1-(Tabla1[[#This Row],[P Piso-20%]]/Tabla1[[#This Row],[P Oferta]]))=1,0,1-(Tabla1[[#This Row],[P Piso-20%]]/Tabla1[[#This Row],[P Oferta]]))</f>
        <v>0.61467615125421193</v>
      </c>
      <c r="J177" s="439">
        <f>Tabla1[[#This Row],[P Piso]]-(Tabla1[[#This Row],[P Piso]]*25%)</f>
        <v>8435.3231999999989</v>
      </c>
      <c r="K177" s="440">
        <f>IF((1-(Tabla1[[#This Row],[P Piso-25%]]/Tabla1[[#This Row],[P Oferta]]))=1,0,1-(Tabla1[[#This Row],[P Piso-25%]]/Tabla1[[#This Row],[P Oferta]]))</f>
        <v>0.63875889180082379</v>
      </c>
      <c r="L177" s="379"/>
      <c r="M177" s="469">
        <v>173</v>
      </c>
      <c r="N177" s="473"/>
      <c r="O177" s="473"/>
      <c r="P177" s="474"/>
      <c r="Q177" s="381"/>
      <c r="R177" s="380"/>
      <c r="S177" s="381"/>
      <c r="T177" s="106"/>
      <c r="U177" s="107"/>
      <c r="W177" s="377">
        <v>0</v>
      </c>
    </row>
    <row r="178" spans="1:23" ht="13.5" customHeight="1">
      <c r="A178" s="477">
        <v>147</v>
      </c>
      <c r="B178" s="478" t="s">
        <v>166</v>
      </c>
      <c r="C178" s="378" t="s">
        <v>365</v>
      </c>
      <c r="D178" s="387">
        <f>VLOOKUP(A178,'Evento Cotiz'!$W$49:$Y$455,3,FALSE)</f>
        <v>0</v>
      </c>
      <c r="E178" s="422">
        <f>VLOOKUP(A178,'Evento Cotiz'!$A$49:$T$459,12,FALSE)</f>
        <v>29507.785599999999</v>
      </c>
      <c r="F178" s="427">
        <f>VLOOKUP(A178,'Evento Cotiz'!$A$49:$T$459,13,FALSE)</f>
        <v>15699.1648</v>
      </c>
      <c r="G178" s="428">
        <f>Tabla1[[#This Row],[Cantidad]]*Tabla1[[#This Row],[P Piso]]</f>
        <v>0</v>
      </c>
      <c r="H178" s="433">
        <f>Tabla1[[#This Row],[P Piso]]-(Tabla1[[#This Row],[P Piso]]*20%)</f>
        <v>12559.331840000001</v>
      </c>
      <c r="I178" s="434">
        <f>IF((1-(Tabla1[[#This Row],[P Piso-20%]]/Tabla1[[#This Row],[P Oferta]]))=1,0,1-(Tabla1[[#This Row],[P Piso-20%]]/Tabla1[[#This Row],[P Oferta]]))</f>
        <v>0.57437226872083547</v>
      </c>
      <c r="J178" s="439">
        <f>Tabla1[[#This Row],[P Piso]]-(Tabla1[[#This Row],[P Piso]]*25%)</f>
        <v>11774.373600000001</v>
      </c>
      <c r="K178" s="440">
        <f>IF((1-(Tabla1[[#This Row],[P Piso-25%]]/Tabla1[[#This Row],[P Oferta]]))=1,0,1-(Tabla1[[#This Row],[P Piso-25%]]/Tabla1[[#This Row],[P Oferta]]))</f>
        <v>0.60097400192578321</v>
      </c>
      <c r="L178" s="379"/>
      <c r="M178" s="469">
        <v>174</v>
      </c>
      <c r="N178" s="473"/>
      <c r="O178" s="473"/>
      <c r="P178" s="474"/>
      <c r="Q178" s="381"/>
      <c r="R178" s="380"/>
      <c r="S178" s="381"/>
      <c r="T178" s="106"/>
      <c r="U178" s="107"/>
      <c r="W178" s="377">
        <v>0</v>
      </c>
    </row>
    <row r="179" spans="1:23">
      <c r="A179" s="477">
        <v>148</v>
      </c>
      <c r="B179" s="478" t="s">
        <v>167</v>
      </c>
      <c r="C179" s="378" t="s">
        <v>365</v>
      </c>
      <c r="D179" s="387">
        <f>VLOOKUP(A179,'Evento Cotiz'!$W$49:$Y$455,3,FALSE)</f>
        <v>0</v>
      </c>
      <c r="E179" s="422">
        <f>VLOOKUP(A179,'Evento Cotiz'!$A$49:$T$459,12,FALSE)</f>
        <v>45416.767999999996</v>
      </c>
      <c r="F179" s="427">
        <f>VLOOKUP(A179,'Evento Cotiz'!$A$49:$T$459,13,FALSE)</f>
        <v>25432.734400000001</v>
      </c>
      <c r="G179" s="428">
        <f>Tabla1[[#This Row],[Cantidad]]*Tabla1[[#This Row],[P Piso]]</f>
        <v>0</v>
      </c>
      <c r="H179" s="433">
        <f>Tabla1[[#This Row],[P Piso]]-(Tabla1[[#This Row],[P Piso]]*20%)</f>
        <v>20346.187519999999</v>
      </c>
      <c r="I179" s="434">
        <f>IF((1-(Tabla1[[#This Row],[P Piso-20%]]/Tabla1[[#This Row],[P Oferta]]))=1,0,1-(Tabla1[[#This Row],[P Piso-20%]]/Tabla1[[#This Row],[P Oferta]]))</f>
        <v>0.55201154956689114</v>
      </c>
      <c r="J179" s="439">
        <f>Tabla1[[#This Row],[P Piso]]-(Tabla1[[#This Row],[P Piso]]*25%)</f>
        <v>19074.550800000001</v>
      </c>
      <c r="K179" s="440">
        <f>IF((1-(Tabla1[[#This Row],[P Piso-25%]]/Tabla1[[#This Row],[P Oferta]]))=1,0,1-(Tabla1[[#This Row],[P Piso-25%]]/Tabla1[[#This Row],[P Oferta]]))</f>
        <v>0.58001082771896051</v>
      </c>
      <c r="L179" s="379"/>
      <c r="M179" s="469">
        <v>175</v>
      </c>
      <c r="N179" s="473"/>
      <c r="O179" s="473"/>
      <c r="P179" s="474"/>
      <c r="Q179" s="381"/>
      <c r="R179" s="380"/>
      <c r="S179" s="381"/>
      <c r="T179" s="106"/>
      <c r="U179" s="107"/>
      <c r="W179" s="377">
        <v>30</v>
      </c>
    </row>
    <row r="180" spans="1:23" ht="13.5" customHeight="1">
      <c r="A180" s="477">
        <v>149</v>
      </c>
      <c r="B180" s="478" t="s">
        <v>168</v>
      </c>
      <c r="C180" s="378" t="s">
        <v>365</v>
      </c>
      <c r="D180" s="387">
        <f>VLOOKUP(A180,'Evento Cotiz'!$W$49:$Y$455,3,FALSE)</f>
        <v>0</v>
      </c>
      <c r="E180" s="422">
        <f>VLOOKUP(A180,'Evento Cotiz'!$A$49:$T$459,12,FALSE)</f>
        <v>38581.303999999996</v>
      </c>
      <c r="F180" s="427">
        <f>VLOOKUP(A180,'Evento Cotiz'!$A$49:$T$459,13,FALSE)</f>
        <v>21935.774399999998</v>
      </c>
      <c r="G180" s="428">
        <f>Tabla1[[#This Row],[Cantidad]]*Tabla1[[#This Row],[P Piso]]</f>
        <v>0</v>
      </c>
      <c r="H180" s="433">
        <f>Tabla1[[#This Row],[P Piso]]-(Tabla1[[#This Row],[P Piso]]*20%)</f>
        <v>17548.61952</v>
      </c>
      <c r="I180" s="434">
        <f>IF((1-(Tabla1[[#This Row],[P Piso-20%]]/Tabla1[[#This Row],[P Oferta]]))=1,0,1-(Tabla1[[#This Row],[P Piso-20%]]/Tabla1[[#This Row],[P Oferta]]))</f>
        <v>0.54515224472454316</v>
      </c>
      <c r="J180" s="439">
        <f>Tabla1[[#This Row],[P Piso]]-(Tabla1[[#This Row],[P Piso]]*25%)</f>
        <v>16451.8308</v>
      </c>
      <c r="K180" s="440">
        <f>IF((1-(Tabla1[[#This Row],[P Piso-25%]]/Tabla1[[#This Row],[P Oferta]]))=1,0,1-(Tabla1[[#This Row],[P Piso-25%]]/Tabla1[[#This Row],[P Oferta]]))</f>
        <v>0.57358022942925935</v>
      </c>
      <c r="L180" s="379"/>
      <c r="M180" s="469">
        <v>176</v>
      </c>
      <c r="N180" s="473"/>
      <c r="O180" s="473"/>
      <c r="P180" s="474"/>
      <c r="Q180" s="381"/>
      <c r="R180" s="380"/>
      <c r="S180" s="381"/>
      <c r="T180" s="106"/>
      <c r="U180" s="107"/>
      <c r="W180" s="377">
        <v>0</v>
      </c>
    </row>
    <row r="181" spans="1:23" ht="13.5" customHeight="1">
      <c r="A181" s="477">
        <v>150</v>
      </c>
      <c r="B181" s="478" t="s">
        <v>169</v>
      </c>
      <c r="C181" s="378" t="s">
        <v>365</v>
      </c>
      <c r="D181" s="387">
        <f>VLOOKUP(A181,'Evento Cotiz'!$W$49:$Y$455,3,FALSE)</f>
        <v>0</v>
      </c>
      <c r="E181" s="422">
        <f>VLOOKUP(A181,'Evento Cotiz'!$A$49:$T$459,12,FALSE)</f>
        <v>10074.5232</v>
      </c>
      <c r="F181" s="427">
        <f>VLOOKUP(A181,'Evento Cotiz'!$A$49:$T$459,13,FALSE)</f>
        <v>5125.232</v>
      </c>
      <c r="G181" s="428">
        <f>Tabla1[[#This Row],[Cantidad]]*Tabla1[[#This Row],[P Piso]]</f>
        <v>0</v>
      </c>
      <c r="H181" s="433">
        <f>Tabla1[[#This Row],[P Piso]]-(Tabla1[[#This Row],[P Piso]]*20%)</f>
        <v>4100.1855999999998</v>
      </c>
      <c r="I181" s="434">
        <f>IF((1-(Tabla1[[#This Row],[P Piso-20%]]/Tabla1[[#This Row],[P Oferta]]))=1,0,1-(Tabla1[[#This Row],[P Piso-20%]]/Tabla1[[#This Row],[P Oferta]]))</f>
        <v>0.59301442672741078</v>
      </c>
      <c r="J181" s="439">
        <f>Tabla1[[#This Row],[P Piso]]-(Tabla1[[#This Row],[P Piso]]*25%)</f>
        <v>3843.924</v>
      </c>
      <c r="K181" s="440">
        <f>IF((1-(Tabla1[[#This Row],[P Piso-25%]]/Tabla1[[#This Row],[P Oferta]]))=1,0,1-(Tabla1[[#This Row],[P Piso-25%]]/Tabla1[[#This Row],[P Oferta]]))</f>
        <v>0.6184510250569476</v>
      </c>
      <c r="L181" s="379"/>
      <c r="M181" s="469">
        <v>177</v>
      </c>
      <c r="N181" s="473"/>
      <c r="O181" s="473"/>
      <c r="P181" s="474"/>
      <c r="Q181" s="381"/>
      <c r="R181" s="380"/>
      <c r="S181" s="381"/>
      <c r="T181" s="106"/>
      <c r="U181" s="107"/>
      <c r="W181" s="377">
        <v>0</v>
      </c>
    </row>
    <row r="182" spans="1:23" ht="13.5" customHeight="1">
      <c r="A182" s="477">
        <v>151</v>
      </c>
      <c r="B182" s="478" t="s">
        <v>170</v>
      </c>
      <c r="C182" s="378" t="s">
        <v>365</v>
      </c>
      <c r="D182" s="387">
        <f>VLOOKUP(A182,'Evento Cotiz'!$W$49:$Y$455,3,FALSE)</f>
        <v>0</v>
      </c>
      <c r="E182" s="422">
        <f>VLOOKUP(A182,'Evento Cotiz'!$A$49:$T$459,12,FALSE)</f>
        <v>11088.641599999999</v>
      </c>
      <c r="F182" s="427">
        <f>VLOOKUP(A182,'Evento Cotiz'!$A$49:$T$459,13,FALSE)</f>
        <v>5802.768</v>
      </c>
      <c r="G182" s="428">
        <f>Tabla1[[#This Row],[Cantidad]]*Tabla1[[#This Row],[P Piso]]</f>
        <v>0</v>
      </c>
      <c r="H182" s="433">
        <f>Tabla1[[#This Row],[P Piso]]-(Tabla1[[#This Row],[P Piso]]*20%)</f>
        <v>4642.2143999999998</v>
      </c>
      <c r="I182" s="434">
        <f>IF((1-(Tabla1[[#This Row],[P Piso-20%]]/Tabla1[[#This Row],[P Oferta]]))=1,0,1-(Tabla1[[#This Row],[P Piso-20%]]/Tabla1[[#This Row],[P Oferta]]))</f>
        <v>0.5813540948063467</v>
      </c>
      <c r="J182" s="439">
        <f>Tabla1[[#This Row],[P Piso]]-(Tabla1[[#This Row],[P Piso]]*25%)</f>
        <v>4352.076</v>
      </c>
      <c r="K182" s="440">
        <f>IF((1-(Tabla1[[#This Row],[P Piso-25%]]/Tabla1[[#This Row],[P Oferta]]))=1,0,1-(Tabla1[[#This Row],[P Piso-25%]]/Tabla1[[#This Row],[P Oferta]]))</f>
        <v>0.60751946388095002</v>
      </c>
      <c r="L182" s="379"/>
      <c r="M182" s="469">
        <v>178</v>
      </c>
      <c r="N182" s="473"/>
      <c r="O182" s="473"/>
      <c r="P182" s="474"/>
      <c r="Q182" s="381"/>
      <c r="R182" s="380"/>
      <c r="S182" s="381"/>
      <c r="T182" s="106"/>
      <c r="U182" s="107"/>
      <c r="W182" s="377">
        <v>0</v>
      </c>
    </row>
    <row r="183" spans="1:23" ht="13.5" customHeight="1">
      <c r="A183" s="477">
        <v>152</v>
      </c>
      <c r="B183" s="478" t="s">
        <v>171</v>
      </c>
      <c r="C183" s="378" t="s">
        <v>365</v>
      </c>
      <c r="D183" s="387">
        <f>VLOOKUP(A183,'Evento Cotiz'!$W$49:$Y$455,3,FALSE)</f>
        <v>0</v>
      </c>
      <c r="E183" s="422">
        <f>VLOOKUP(A183,'Evento Cotiz'!$A$49:$T$459,12,FALSE)</f>
        <v>40237.988799999999</v>
      </c>
      <c r="F183" s="427">
        <f>VLOOKUP(A183,'Evento Cotiz'!$A$49:$T$459,13,FALSE)</f>
        <v>1915.6784</v>
      </c>
      <c r="G183" s="428">
        <f>Tabla1[[#This Row],[Cantidad]]*Tabla1[[#This Row],[P Piso]]</f>
        <v>0</v>
      </c>
      <c r="H183" s="433">
        <f>Tabla1[[#This Row],[P Piso]]-(Tabla1[[#This Row],[P Piso]]*20%)</f>
        <v>1532.5427199999999</v>
      </c>
      <c r="I183" s="434">
        <f>IF((1-(Tabla1[[#This Row],[P Piso-20%]]/Tabla1[[#This Row],[P Oferta]]))=1,0,1-(Tabla1[[#This Row],[P Piso-20%]]/Tabla1[[#This Row],[P Oferta]]))</f>
        <v>0.96191303875505829</v>
      </c>
      <c r="J183" s="439">
        <f>Tabla1[[#This Row],[P Piso]]-(Tabla1[[#This Row],[P Piso]]*25%)</f>
        <v>1436.7588000000001</v>
      </c>
      <c r="K183" s="440">
        <f>IF((1-(Tabla1[[#This Row],[P Piso-25%]]/Tabla1[[#This Row],[P Oferta]]))=1,0,1-(Tabla1[[#This Row],[P Piso-25%]]/Tabla1[[#This Row],[P Oferta]]))</f>
        <v>0.96429347383286712</v>
      </c>
      <c r="L183" s="379"/>
      <c r="M183" s="469">
        <v>179</v>
      </c>
      <c r="N183" s="473"/>
      <c r="O183" s="473"/>
      <c r="P183" s="474"/>
      <c r="Q183" s="381"/>
      <c r="R183" s="380"/>
      <c r="S183" s="381"/>
      <c r="T183" s="106"/>
      <c r="U183" s="107"/>
      <c r="W183" s="377">
        <v>0</v>
      </c>
    </row>
    <row r="184" spans="1:23" ht="13.5" customHeight="1">
      <c r="A184" s="477">
        <v>153</v>
      </c>
      <c r="B184" s="478" t="s">
        <v>172</v>
      </c>
      <c r="C184" s="378" t="s">
        <v>365</v>
      </c>
      <c r="D184" s="387">
        <f>VLOOKUP(A184,'Evento Cotiz'!$W$49:$Y$455,3,FALSE)</f>
        <v>0</v>
      </c>
      <c r="E184" s="422">
        <f>VLOOKUP(A184,'Evento Cotiz'!$A$49:$T$459,12,FALSE)</f>
        <v>46282.265599999999</v>
      </c>
      <c r="F184" s="427">
        <f>VLOOKUP(A184,'Evento Cotiz'!$A$49:$T$459,13,FALSE)</f>
        <v>4821.4336000000003</v>
      </c>
      <c r="G184" s="428">
        <f>Tabla1[[#This Row],[Cantidad]]*Tabla1[[#This Row],[P Piso]]</f>
        <v>0</v>
      </c>
      <c r="H184" s="433">
        <f>Tabla1[[#This Row],[P Piso]]-(Tabla1[[#This Row],[P Piso]]*20%)</f>
        <v>3857.1468800000002</v>
      </c>
      <c r="I184" s="434">
        <f>IF((1-(Tabla1[[#This Row],[P Piso-20%]]/Tabla1[[#This Row],[P Oferta]]))=1,0,1-(Tabla1[[#This Row],[P Piso-20%]]/Tabla1[[#This Row],[P Oferta]]))</f>
        <v>0.91666037023044955</v>
      </c>
      <c r="J184" s="439">
        <f>Tabla1[[#This Row],[P Piso]]-(Tabla1[[#This Row],[P Piso]]*25%)</f>
        <v>3616.0752000000002</v>
      </c>
      <c r="K184" s="440">
        <f>IF((1-(Tabla1[[#This Row],[P Piso-25%]]/Tabla1[[#This Row],[P Oferta]]))=1,0,1-(Tabla1[[#This Row],[P Piso-25%]]/Tabla1[[#This Row],[P Oferta]]))</f>
        <v>0.92186909709104647</v>
      </c>
      <c r="L184" s="379"/>
      <c r="M184" s="469">
        <v>180</v>
      </c>
      <c r="N184" s="473"/>
      <c r="O184" s="473"/>
      <c r="P184" s="474"/>
      <c r="Q184" s="381"/>
      <c r="R184" s="380"/>
      <c r="S184" s="381"/>
      <c r="T184" s="106"/>
      <c r="U184" s="107"/>
      <c r="W184" s="377">
        <v>0</v>
      </c>
    </row>
    <row r="185" spans="1:23" ht="13.5" customHeight="1">
      <c r="A185" s="477">
        <v>154</v>
      </c>
      <c r="B185" s="478" t="s">
        <v>173</v>
      </c>
      <c r="C185" s="378" t="s">
        <v>365</v>
      </c>
      <c r="D185" s="387">
        <f>VLOOKUP(A185,'Evento Cotiz'!$W$49:$Y$455,3,FALSE)</f>
        <v>0</v>
      </c>
      <c r="E185" s="422">
        <f>VLOOKUP(A185,'Evento Cotiz'!$A$49:$T$459,12,FALSE)</f>
        <v>8035.3584000000001</v>
      </c>
      <c r="F185" s="427">
        <f>VLOOKUP(A185,'Evento Cotiz'!$A$49:$T$459,13,FALSE)</f>
        <v>2778.9904000000001</v>
      </c>
      <c r="G185" s="428">
        <f>Tabla1[[#This Row],[Cantidad]]*Tabla1[[#This Row],[P Piso]]</f>
        <v>0</v>
      </c>
      <c r="H185" s="433">
        <f>Tabla1[[#This Row],[P Piso]]-(Tabla1[[#This Row],[P Piso]]*20%)</f>
        <v>2223.1923200000001</v>
      </c>
      <c r="I185" s="434">
        <f>IF((1-(Tabla1[[#This Row],[P Piso-20%]]/Tabla1[[#This Row],[P Oferta]]))=1,0,1-(Tabla1[[#This Row],[P Piso-20%]]/Tabla1[[#This Row],[P Oferta]]))</f>
        <v>0.7233238134094927</v>
      </c>
      <c r="J185" s="439">
        <f>Tabla1[[#This Row],[P Piso]]-(Tabla1[[#This Row],[P Piso]]*25%)</f>
        <v>2084.2428</v>
      </c>
      <c r="K185" s="440">
        <f>IF((1-(Tabla1[[#This Row],[P Piso-25%]]/Tabla1[[#This Row],[P Oferta]]))=1,0,1-(Tabla1[[#This Row],[P Piso-25%]]/Tabla1[[#This Row],[P Oferta]]))</f>
        <v>0.74061607507139948</v>
      </c>
      <c r="L185" s="379"/>
      <c r="M185" s="469">
        <v>181</v>
      </c>
      <c r="N185" s="473"/>
      <c r="O185" s="473"/>
      <c r="P185" s="474"/>
      <c r="Q185" s="381"/>
      <c r="R185" s="380"/>
      <c r="S185" s="381"/>
      <c r="T185" s="106"/>
      <c r="U185" s="107"/>
      <c r="W185" s="377">
        <v>0</v>
      </c>
    </row>
    <row r="186" spans="1:23" ht="13.5" customHeight="1">
      <c r="A186" s="477">
        <v>157</v>
      </c>
      <c r="B186" s="478" t="s">
        <v>176</v>
      </c>
      <c r="C186" s="378" t="s">
        <v>365</v>
      </c>
      <c r="D186" s="387">
        <f>VLOOKUP(A186,'Evento Cotiz'!$W$49:$Y$455,3,FALSE)</f>
        <v>0</v>
      </c>
      <c r="E186" s="422">
        <f>VLOOKUP(A186,'Evento Cotiz'!$A$49:$T$459,12,FALSE)</f>
        <v>15365.8608</v>
      </c>
      <c r="F186" s="427">
        <f>VLOOKUP(A186,'Evento Cotiz'!$A$49:$T$459,13,FALSE)</f>
        <v>7965.4192000000003</v>
      </c>
      <c r="G186" s="428">
        <f>Tabla1[[#This Row],[Cantidad]]*Tabla1[[#This Row],[P Piso]]</f>
        <v>0</v>
      </c>
      <c r="H186" s="433">
        <f>Tabla1[[#This Row],[P Piso]]-(Tabla1[[#This Row],[P Piso]]*20%)</f>
        <v>6372.33536</v>
      </c>
      <c r="I186" s="434">
        <f>IF((1-(Tabla1[[#This Row],[P Piso-20%]]/Tabla1[[#This Row],[P Oferta]]))=1,0,1-(Tabla1[[#This Row],[P Piso-20%]]/Tabla1[[#This Row],[P Oferta]]))</f>
        <v>0.58529265343858894</v>
      </c>
      <c r="J186" s="439">
        <f>Tabla1[[#This Row],[P Piso]]-(Tabla1[[#This Row],[P Piso]]*25%)</f>
        <v>5974.0644000000002</v>
      </c>
      <c r="K186" s="440">
        <f>IF((1-(Tabla1[[#This Row],[P Piso-25%]]/Tabla1[[#This Row],[P Oferta]]))=1,0,1-(Tabla1[[#This Row],[P Piso-25%]]/Tabla1[[#This Row],[P Oferta]]))</f>
        <v>0.61121186259867721</v>
      </c>
      <c r="L186" s="379"/>
      <c r="M186" s="469">
        <v>182</v>
      </c>
      <c r="N186" s="473"/>
      <c r="O186" s="473"/>
      <c r="P186" s="474"/>
      <c r="Q186" s="381"/>
      <c r="R186" s="380"/>
      <c r="S186" s="381"/>
      <c r="T186" s="106"/>
      <c r="U186" s="107"/>
      <c r="W186" s="377">
        <v>0</v>
      </c>
    </row>
    <row r="187" spans="1:23" ht="13.5" customHeight="1">
      <c r="A187" s="477">
        <v>158</v>
      </c>
      <c r="B187" s="478" t="s">
        <v>177</v>
      </c>
      <c r="C187" s="378" t="s">
        <v>365</v>
      </c>
      <c r="D187" s="387">
        <f>VLOOKUP(A187,'Evento Cotiz'!$W$49:$Y$455,3,FALSE)</f>
        <v>0</v>
      </c>
      <c r="E187" s="422">
        <f>VLOOKUP(A187,'Evento Cotiz'!$A$49:$T$459,12,FALSE)</f>
        <v>17071.721600000001</v>
      </c>
      <c r="F187" s="427">
        <f>VLOOKUP(A187,'Evento Cotiz'!$A$49:$T$459,13,FALSE)</f>
        <v>8139.1743999999999</v>
      </c>
      <c r="G187" s="428">
        <f>Tabla1[[#This Row],[Cantidad]]*Tabla1[[#This Row],[P Piso]]</f>
        <v>0</v>
      </c>
      <c r="H187" s="433">
        <f>Tabla1[[#This Row],[P Piso]]-(Tabla1[[#This Row],[P Piso]]*20%)</f>
        <v>6511.3395199999995</v>
      </c>
      <c r="I187" s="434">
        <f>IF((1-(Tabla1[[#This Row],[P Piso-20%]]/Tabla1[[#This Row],[P Oferta]]))=1,0,1-(Tabla1[[#This Row],[P Piso-20%]]/Tabla1[[#This Row],[P Oferta]]))</f>
        <v>0.61858916912047124</v>
      </c>
      <c r="J187" s="439">
        <f>Tabla1[[#This Row],[P Piso]]-(Tabla1[[#This Row],[P Piso]]*25%)</f>
        <v>6104.3807999999999</v>
      </c>
      <c r="K187" s="440">
        <f>IF((1-(Tabla1[[#This Row],[P Piso-25%]]/Tabla1[[#This Row],[P Oferta]]))=1,0,1-(Tabla1[[#This Row],[P Piso-25%]]/Tabla1[[#This Row],[P Oferta]]))</f>
        <v>0.64242734605044172</v>
      </c>
      <c r="L187" s="379"/>
      <c r="M187" s="469">
        <v>183</v>
      </c>
      <c r="N187" s="473"/>
      <c r="O187" s="473"/>
      <c r="P187" s="474"/>
      <c r="Q187" s="381"/>
      <c r="R187" s="380"/>
      <c r="S187" s="381"/>
      <c r="T187" s="106"/>
      <c r="U187" s="107"/>
      <c r="W187" s="377">
        <v>0</v>
      </c>
    </row>
    <row r="188" spans="1:23">
      <c r="A188" s="477">
        <v>161</v>
      </c>
      <c r="B188" s="478" t="s">
        <v>180</v>
      </c>
      <c r="C188" s="378" t="s">
        <v>365</v>
      </c>
      <c r="D188" s="387">
        <f>VLOOKUP(A188,'Evento Cotiz'!$W$49:$Y$455,3,FALSE)</f>
        <v>0</v>
      </c>
      <c r="E188" s="422">
        <f>VLOOKUP(A188,'Evento Cotiz'!$A$49:$T$459,12,FALSE)</f>
        <v>4784.2784000000001</v>
      </c>
      <c r="F188" s="427">
        <f>VLOOKUP(A188,'Evento Cotiz'!$A$49:$T$459,13,FALSE)</f>
        <v>2471.9135999999999</v>
      </c>
      <c r="G188" s="428">
        <f>Tabla1[[#This Row],[Cantidad]]*Tabla1[[#This Row],[P Piso]]</f>
        <v>0</v>
      </c>
      <c r="H188" s="433">
        <f>Tabla1[[#This Row],[P Piso]]-(Tabla1[[#This Row],[P Piso]]*20%)</f>
        <v>1977.5308799999998</v>
      </c>
      <c r="I188" s="434">
        <f>IF((1-(Tabla1[[#This Row],[P Piso-20%]]/Tabla1[[#This Row],[P Oferta]]))=1,0,1-(Tabla1[[#This Row],[P Piso-20%]]/Tabla1[[#This Row],[P Oferta]]))</f>
        <v>0.58666057560529927</v>
      </c>
      <c r="J188" s="439">
        <f>Tabla1[[#This Row],[P Piso]]-(Tabla1[[#This Row],[P Piso]]*25%)</f>
        <v>1853.9351999999999</v>
      </c>
      <c r="K188" s="440">
        <f>IF((1-(Tabla1[[#This Row],[P Piso-25%]]/Tabla1[[#This Row],[P Oferta]]))=1,0,1-(Tabla1[[#This Row],[P Piso-25%]]/Tabla1[[#This Row],[P Oferta]]))</f>
        <v>0.6124942896299681</v>
      </c>
      <c r="L188" s="379"/>
      <c r="M188" s="469">
        <v>184</v>
      </c>
      <c r="N188" s="473"/>
      <c r="O188" s="473"/>
      <c r="P188" s="474"/>
      <c r="Q188" s="381"/>
      <c r="R188" s="380"/>
      <c r="S188" s="381"/>
      <c r="T188" s="106"/>
      <c r="U188" s="107"/>
      <c r="W188" s="377">
        <v>30</v>
      </c>
    </row>
    <row r="189" spans="1:23" ht="13.5" customHeight="1">
      <c r="A189" s="477">
        <v>162</v>
      </c>
      <c r="B189" s="478" t="s">
        <v>181</v>
      </c>
      <c r="C189" s="378" t="s">
        <v>365</v>
      </c>
      <c r="D189" s="387">
        <f>VLOOKUP(A189,'Evento Cotiz'!$W$49:$Y$455,3,FALSE)</f>
        <v>0</v>
      </c>
      <c r="E189" s="422">
        <f>VLOOKUP(A189,'Evento Cotiz'!$A$49:$T$459,12,FALSE)</f>
        <v>5093.5407999999998</v>
      </c>
      <c r="F189" s="427">
        <f>VLOOKUP(A189,'Evento Cotiz'!$A$49:$T$459,13,FALSE)</f>
        <v>2471.9135999999999</v>
      </c>
      <c r="G189" s="428">
        <f>Tabla1[[#This Row],[Cantidad]]*Tabla1[[#This Row],[P Piso]]</f>
        <v>0</v>
      </c>
      <c r="H189" s="433">
        <f>Tabla1[[#This Row],[P Piso]]-(Tabla1[[#This Row],[P Piso]]*20%)</f>
        <v>1977.5308799999998</v>
      </c>
      <c r="I189" s="434">
        <f>IF((1-(Tabla1[[#This Row],[P Piso-20%]]/Tabla1[[#This Row],[P Oferta]]))=1,0,1-(Tabla1[[#This Row],[P Piso-20%]]/Tabla1[[#This Row],[P Oferta]]))</f>
        <v>0.61175713366230422</v>
      </c>
      <c r="J189" s="439">
        <f>Tabla1[[#This Row],[P Piso]]-(Tabla1[[#This Row],[P Piso]]*25%)</f>
        <v>1853.9351999999999</v>
      </c>
      <c r="K189" s="440">
        <f>IF((1-(Tabla1[[#This Row],[P Piso-25%]]/Tabla1[[#This Row],[P Oferta]]))=1,0,1-(Tabla1[[#This Row],[P Piso-25%]]/Tabla1[[#This Row],[P Oferta]]))</f>
        <v>0.63602231280841015</v>
      </c>
      <c r="L189" s="379"/>
      <c r="M189" s="469">
        <v>185</v>
      </c>
      <c r="N189" s="473"/>
      <c r="O189" s="473"/>
      <c r="P189" s="474"/>
      <c r="Q189" s="381"/>
      <c r="R189" s="380"/>
      <c r="S189" s="381"/>
      <c r="T189" s="106"/>
      <c r="U189" s="107"/>
      <c r="W189" s="377">
        <v>0</v>
      </c>
    </row>
    <row r="190" spans="1:23" ht="13.5" customHeight="1">
      <c r="A190" s="477">
        <v>165</v>
      </c>
      <c r="B190" s="478" t="s">
        <v>184</v>
      </c>
      <c r="C190" s="378" t="s">
        <v>365</v>
      </c>
      <c r="D190" s="387">
        <f>VLOOKUP(A190,'Evento Cotiz'!$W$49:$Y$455,3,FALSE)</f>
        <v>0</v>
      </c>
      <c r="E190" s="422">
        <f>VLOOKUP(A190,'Evento Cotiz'!$A$49:$T$459,12,FALSE)</f>
        <v>24179.292799999999</v>
      </c>
      <c r="F190" s="427">
        <f>VLOOKUP(A190,'Evento Cotiz'!$A$49:$T$459,13,FALSE)</f>
        <v>10518.2</v>
      </c>
      <c r="G190" s="428">
        <f>Tabla1[[#This Row],[Cantidad]]*Tabla1[[#This Row],[P Piso]]</f>
        <v>0</v>
      </c>
      <c r="H190" s="433">
        <f>Tabla1[[#This Row],[P Piso]]-(Tabla1[[#This Row],[P Piso]]*20%)</f>
        <v>8414.5600000000013</v>
      </c>
      <c r="I190" s="434">
        <f>IF((1-(Tabla1[[#This Row],[P Piso-20%]]/Tabla1[[#This Row],[P Oferta]]))=1,0,1-(Tabla1[[#This Row],[P Piso-20%]]/Tabla1[[#This Row],[P Oferta]]))</f>
        <v>0.65199313025399974</v>
      </c>
      <c r="J190" s="439">
        <f>Tabla1[[#This Row],[P Piso]]-(Tabla1[[#This Row],[P Piso]]*25%)</f>
        <v>7888.6500000000005</v>
      </c>
      <c r="K190" s="440">
        <f>IF((1-(Tabla1[[#This Row],[P Piso-25%]]/Tabla1[[#This Row],[P Oferta]]))=1,0,1-(Tabla1[[#This Row],[P Piso-25%]]/Tabla1[[#This Row],[P Oferta]]))</f>
        <v>0.67374355961312482</v>
      </c>
      <c r="L190" s="379"/>
      <c r="M190" s="469">
        <v>186</v>
      </c>
      <c r="N190" s="473"/>
      <c r="O190" s="473"/>
      <c r="P190" s="474"/>
      <c r="Q190" s="381"/>
      <c r="R190" s="380"/>
      <c r="S190" s="381"/>
      <c r="T190" s="106"/>
      <c r="U190" s="107"/>
      <c r="W190" s="377">
        <v>0</v>
      </c>
    </row>
    <row r="191" spans="1:23" ht="13.5" customHeight="1">
      <c r="A191" s="477">
        <v>166</v>
      </c>
      <c r="B191" s="478" t="s">
        <v>185</v>
      </c>
      <c r="C191" s="378" t="s">
        <v>365</v>
      </c>
      <c r="D191" s="387">
        <f>VLOOKUP(A191,'Evento Cotiz'!$W$49:$Y$455,3,FALSE)</f>
        <v>0</v>
      </c>
      <c r="E191" s="422">
        <f>VLOOKUP(A191,'Evento Cotiz'!$A$49:$T$459,12,FALSE)</f>
        <v>52958.180800000002</v>
      </c>
      <c r="F191" s="427">
        <f>VLOOKUP(A191,'Evento Cotiz'!$A$49:$T$459,13,FALSE)</f>
        <v>15822.6512</v>
      </c>
      <c r="G191" s="428">
        <f>Tabla1[[#This Row],[Cantidad]]*Tabla1[[#This Row],[P Piso]]</f>
        <v>0</v>
      </c>
      <c r="H191" s="433">
        <f>Tabla1[[#This Row],[P Piso]]-(Tabla1[[#This Row],[P Piso]]*20%)</f>
        <v>12658.12096</v>
      </c>
      <c r="I191" s="434">
        <f>IF((1-(Tabla1[[#This Row],[P Piso-20%]]/Tabla1[[#This Row],[P Oferta]]))=1,0,1-(Tabla1[[#This Row],[P Piso-20%]]/Tabla1[[#This Row],[P Oferta]]))</f>
        <v>0.76097893151193741</v>
      </c>
      <c r="J191" s="439">
        <f>Tabla1[[#This Row],[P Piso]]-(Tabla1[[#This Row],[P Piso]]*25%)</f>
        <v>11866.9884</v>
      </c>
      <c r="K191" s="440">
        <f>IF((1-(Tabla1[[#This Row],[P Piso-25%]]/Tabla1[[#This Row],[P Oferta]]))=1,0,1-(Tabla1[[#This Row],[P Piso-25%]]/Tabla1[[#This Row],[P Oferta]]))</f>
        <v>0.77591774829244131</v>
      </c>
      <c r="L191" s="379"/>
      <c r="M191" s="469">
        <v>187</v>
      </c>
      <c r="N191" s="473"/>
      <c r="O191" s="473"/>
      <c r="P191" s="474"/>
      <c r="Q191" s="381"/>
      <c r="R191" s="380"/>
      <c r="S191" s="381"/>
      <c r="T191" s="106"/>
      <c r="U191" s="107"/>
      <c r="W191" s="377">
        <v>0</v>
      </c>
    </row>
    <row r="192" spans="1:23" ht="13.5" customHeight="1">
      <c r="A192" s="477">
        <v>167</v>
      </c>
      <c r="B192" s="478" t="s">
        <v>186</v>
      </c>
      <c r="C192" s="378" t="s">
        <v>365</v>
      </c>
      <c r="D192" s="387">
        <f>VLOOKUP(A192,'Evento Cotiz'!$W$49:$Y$455,3,FALSE)</f>
        <v>0</v>
      </c>
      <c r="E192" s="422">
        <f>VLOOKUP(A192,'Evento Cotiz'!$A$49:$T$459,12,FALSE)</f>
        <v>13894.951999999999</v>
      </c>
      <c r="F192" s="427">
        <f>VLOOKUP(A192,'Evento Cotiz'!$A$49:$T$459,13,FALSE)</f>
        <v>4229.1360000000004</v>
      </c>
      <c r="G192" s="428">
        <f>Tabla1[[#This Row],[Cantidad]]*Tabla1[[#This Row],[P Piso]]</f>
        <v>0</v>
      </c>
      <c r="H192" s="433">
        <f>Tabla1[[#This Row],[P Piso]]-(Tabla1[[#This Row],[P Piso]]*20%)</f>
        <v>3383.3088000000002</v>
      </c>
      <c r="I192" s="434">
        <f>IF((1-(Tabla1[[#This Row],[P Piso-20%]]/Tabla1[[#This Row],[P Oferta]]))=1,0,1-(Tabla1[[#This Row],[P Piso-20%]]/Tabla1[[#This Row],[P Oferta]]))</f>
        <v>0.75650806134486825</v>
      </c>
      <c r="J192" s="439">
        <f>Tabla1[[#This Row],[P Piso]]-(Tabla1[[#This Row],[P Piso]]*25%)</f>
        <v>3171.8520000000003</v>
      </c>
      <c r="K192" s="440">
        <f>IF((1-(Tabla1[[#This Row],[P Piso-25%]]/Tabla1[[#This Row],[P Oferta]]))=1,0,1-(Tabla1[[#This Row],[P Piso-25%]]/Tabla1[[#This Row],[P Oferta]]))</f>
        <v>0.77172630751081395</v>
      </c>
      <c r="L192" s="379"/>
      <c r="M192" s="469">
        <v>188</v>
      </c>
      <c r="N192" s="473"/>
      <c r="O192" s="473"/>
      <c r="P192" s="474"/>
      <c r="Q192" s="381"/>
      <c r="R192" s="380"/>
      <c r="S192" s="381"/>
      <c r="T192" s="106"/>
      <c r="U192" s="107"/>
      <c r="W192" s="377">
        <v>0</v>
      </c>
    </row>
    <row r="193" spans="1:23" ht="13.5" customHeight="1">
      <c r="A193" s="477">
        <v>171</v>
      </c>
      <c r="B193" s="478" t="s">
        <v>190</v>
      </c>
      <c r="C193" s="378" t="s">
        <v>365</v>
      </c>
      <c r="D193" s="387">
        <f>VLOOKUP(A193,'Evento Cotiz'!$W$49:$Y$455,3,FALSE)</f>
        <v>0</v>
      </c>
      <c r="E193" s="422">
        <f>VLOOKUP(A193,'Evento Cotiz'!$A$49:$T$459,12,FALSE)</f>
        <v>35169.582399999999</v>
      </c>
      <c r="F193" s="427">
        <f>VLOOKUP(A193,'Evento Cotiz'!$A$49:$T$459,13,FALSE)</f>
        <v>17707.731199999998</v>
      </c>
      <c r="G193" s="428">
        <f>Tabla1[[#This Row],[Cantidad]]*Tabla1[[#This Row],[P Piso]]</f>
        <v>0</v>
      </c>
      <c r="H193" s="433">
        <f>Tabla1[[#This Row],[P Piso]]-(Tabla1[[#This Row],[P Piso]]*20%)</f>
        <v>14166.184959999999</v>
      </c>
      <c r="I193" s="434">
        <f>IF((1-(Tabla1[[#This Row],[P Piso-20%]]/Tabla1[[#This Row],[P Oferta]]))=1,0,1-(Tabla1[[#This Row],[P Piso-20%]]/Tabla1[[#This Row],[P Oferta]]))</f>
        <v>0.59720349252711058</v>
      </c>
      <c r="J193" s="439">
        <f>Tabla1[[#This Row],[P Piso]]-(Tabla1[[#This Row],[P Piso]]*25%)</f>
        <v>13280.7984</v>
      </c>
      <c r="K193" s="440">
        <f>IF((1-(Tabla1[[#This Row],[P Piso-25%]]/Tabla1[[#This Row],[P Oferta]]))=1,0,1-(Tabla1[[#This Row],[P Piso-25%]]/Tabla1[[#This Row],[P Oferta]]))</f>
        <v>0.62237827424416614</v>
      </c>
      <c r="L193" s="379"/>
      <c r="M193" s="469">
        <v>189</v>
      </c>
      <c r="N193" s="473"/>
      <c r="O193" s="473"/>
      <c r="P193" s="474"/>
      <c r="Q193" s="381"/>
      <c r="R193" s="380"/>
      <c r="S193" s="381"/>
      <c r="T193" s="106"/>
      <c r="U193" s="107"/>
      <c r="W193" s="377">
        <v>0</v>
      </c>
    </row>
    <row r="194" spans="1:23" ht="13.5" customHeight="1">
      <c r="A194" s="477">
        <v>172</v>
      </c>
      <c r="B194" s="478" t="s">
        <v>191</v>
      </c>
      <c r="C194" s="378" t="s">
        <v>365</v>
      </c>
      <c r="D194" s="387">
        <f>VLOOKUP(A194,'Evento Cotiz'!$W$49:$Y$455,3,FALSE)</f>
        <v>0</v>
      </c>
      <c r="E194" s="422">
        <f>VLOOKUP(A194,'Evento Cotiz'!$A$49:$T$459,12,FALSE)</f>
        <v>107806.9056</v>
      </c>
      <c r="F194" s="427">
        <f>VLOOKUP(A194,'Evento Cotiz'!$A$49:$T$459,13,FALSE)</f>
        <v>3708.9632000000001</v>
      </c>
      <c r="G194" s="428">
        <f>Tabla1[[#This Row],[Cantidad]]*Tabla1[[#This Row],[P Piso]]</f>
        <v>0</v>
      </c>
      <c r="H194" s="433">
        <f>Tabla1[[#This Row],[P Piso]]-(Tabla1[[#This Row],[P Piso]]*20%)</f>
        <v>2967.17056</v>
      </c>
      <c r="I194" s="434">
        <f>IF((1-(Tabla1[[#This Row],[P Piso-20%]]/Tabla1[[#This Row],[P Oferta]]))=1,0,1-(Tabla1[[#This Row],[P Piso-20%]]/Tabla1[[#This Row],[P Oferta]]))</f>
        <v>0.9724769898228115</v>
      </c>
      <c r="J194" s="439">
        <f>Tabla1[[#This Row],[P Piso]]-(Tabla1[[#This Row],[P Piso]]*25%)</f>
        <v>2781.7224000000001</v>
      </c>
      <c r="K194" s="440">
        <f>IF((1-(Tabla1[[#This Row],[P Piso-25%]]/Tabla1[[#This Row],[P Oferta]]))=1,0,1-(Tabla1[[#This Row],[P Piso-25%]]/Tabla1[[#This Row],[P Oferta]]))</f>
        <v>0.97419717795888583</v>
      </c>
      <c r="L194" s="379"/>
      <c r="M194" s="469">
        <v>190</v>
      </c>
      <c r="N194" s="473"/>
      <c r="O194" s="473"/>
      <c r="P194" s="474"/>
      <c r="Q194" s="381"/>
      <c r="R194" s="380"/>
      <c r="S194" s="381"/>
      <c r="T194" s="106"/>
      <c r="U194" s="107"/>
      <c r="W194" s="377">
        <v>0</v>
      </c>
    </row>
    <row r="195" spans="1:23" ht="13.5" customHeight="1">
      <c r="A195" s="477">
        <v>173</v>
      </c>
      <c r="B195" s="478" t="s">
        <v>192</v>
      </c>
      <c r="C195" s="378" t="s">
        <v>365</v>
      </c>
      <c r="D195" s="387">
        <f>VLOOKUP(A195,'Evento Cotiz'!$W$49:$Y$455,3,FALSE)</f>
        <v>0</v>
      </c>
      <c r="E195" s="422">
        <f>VLOOKUP(A195,'Evento Cotiz'!$A$49:$T$459,12,FALSE)</f>
        <v>46454.928</v>
      </c>
      <c r="F195" s="427">
        <f>VLOOKUP(A195,'Evento Cotiz'!$A$49:$T$459,13,FALSE)</f>
        <v>18721.849600000001</v>
      </c>
      <c r="G195" s="428">
        <f>Tabla1[[#This Row],[Cantidad]]*Tabla1[[#This Row],[P Piso]]</f>
        <v>0</v>
      </c>
      <c r="H195" s="433">
        <f>Tabla1[[#This Row],[P Piso]]-(Tabla1[[#This Row],[P Piso]]*20%)</f>
        <v>14977.47968</v>
      </c>
      <c r="I195" s="434">
        <f>IF((1-(Tabla1[[#This Row],[P Piso-20%]]/Tabla1[[#This Row],[P Oferta]]))=1,0,1-(Tabla1[[#This Row],[P Piso-20%]]/Tabla1[[#This Row],[P Oferta]]))</f>
        <v>0.67759115502234768</v>
      </c>
      <c r="J195" s="439">
        <f>Tabla1[[#This Row],[P Piso]]-(Tabla1[[#This Row],[P Piso]]*25%)</f>
        <v>14041.387200000001</v>
      </c>
      <c r="K195" s="440">
        <f>IF((1-(Tabla1[[#This Row],[P Piso-25%]]/Tabla1[[#This Row],[P Oferta]]))=1,0,1-(Tabla1[[#This Row],[P Piso-25%]]/Tabla1[[#This Row],[P Oferta]]))</f>
        <v>0.69774170783345091</v>
      </c>
      <c r="L195" s="379"/>
      <c r="M195" s="469">
        <v>191</v>
      </c>
      <c r="N195" s="473"/>
      <c r="O195" s="473"/>
      <c r="P195" s="474"/>
      <c r="Q195" s="381"/>
      <c r="R195" s="380"/>
      <c r="S195" s="381"/>
      <c r="T195" s="106"/>
      <c r="U195" s="107"/>
      <c r="W195" s="377">
        <v>0</v>
      </c>
    </row>
    <row r="196" spans="1:23" ht="13.5" customHeight="1">
      <c r="A196" s="477">
        <v>174</v>
      </c>
      <c r="B196" s="478" t="s">
        <v>193</v>
      </c>
      <c r="C196" s="378" t="s">
        <v>365</v>
      </c>
      <c r="D196" s="387">
        <f>VLOOKUP(A196,'Evento Cotiz'!$W$49:$Y$455,3,FALSE)</f>
        <v>0</v>
      </c>
      <c r="E196" s="422">
        <f>VLOOKUP(A196,'Evento Cotiz'!$A$49:$T$459,12,FALSE)</f>
        <v>24821.859199999999</v>
      </c>
      <c r="F196" s="427">
        <f>VLOOKUP(A196,'Evento Cotiz'!$A$49:$T$459,13,FALSE)</f>
        <v>13682.9488</v>
      </c>
      <c r="G196" s="428">
        <f>Tabla1[[#This Row],[Cantidad]]*Tabla1[[#This Row],[P Piso]]</f>
        <v>0</v>
      </c>
      <c r="H196" s="433">
        <f>Tabla1[[#This Row],[P Piso]]-(Tabla1[[#This Row],[P Piso]]*20%)</f>
        <v>10946.359039999999</v>
      </c>
      <c r="I196" s="434">
        <f>IF((1-(Tabla1[[#This Row],[P Piso-20%]]/Tabla1[[#This Row],[P Oferta]]))=1,0,1-(Tabla1[[#This Row],[P Piso-20%]]/Tabla1[[#This Row],[P Oferta]]))</f>
        <v>0.55900325790261518</v>
      </c>
      <c r="J196" s="439">
        <f>Tabla1[[#This Row],[P Piso]]-(Tabla1[[#This Row],[P Piso]]*25%)</f>
        <v>10262.211600000001</v>
      </c>
      <c r="K196" s="440">
        <f>IF((1-(Tabla1[[#This Row],[P Piso-25%]]/Tabla1[[#This Row],[P Oferta]]))=1,0,1-(Tabla1[[#This Row],[P Piso-25%]]/Tabla1[[#This Row],[P Oferta]]))</f>
        <v>0.58656555428370161</v>
      </c>
      <c r="L196" s="379"/>
      <c r="M196" s="469">
        <v>192</v>
      </c>
      <c r="N196" s="473"/>
      <c r="O196" s="473"/>
      <c r="P196" s="474"/>
      <c r="Q196" s="381"/>
      <c r="R196" s="380"/>
      <c r="S196" s="381"/>
      <c r="T196" s="106"/>
      <c r="U196" s="107"/>
      <c r="W196" s="377">
        <v>0</v>
      </c>
    </row>
    <row r="197" spans="1:23" ht="13.5" customHeight="1">
      <c r="A197" s="477">
        <v>177</v>
      </c>
      <c r="B197" s="478" t="s">
        <v>196</v>
      </c>
      <c r="C197" s="378" t="s">
        <v>365</v>
      </c>
      <c r="D197" s="387">
        <f>VLOOKUP(A197,'Evento Cotiz'!$W$49:$Y$455,3,FALSE)</f>
        <v>0</v>
      </c>
      <c r="E197" s="422">
        <f>VLOOKUP(A197,'Evento Cotiz'!$A$49:$T$459,12,FALSE)</f>
        <v>6020.2352000000001</v>
      </c>
      <c r="F197" s="427">
        <f>VLOOKUP(A197,'Evento Cotiz'!$A$49:$T$459,13,FALSE)</f>
        <v>2773.5264000000002</v>
      </c>
      <c r="G197" s="428">
        <f>Tabla1[[#This Row],[Cantidad]]*Tabla1[[#This Row],[P Piso]]</f>
        <v>0</v>
      </c>
      <c r="H197" s="433">
        <f>Tabla1[[#This Row],[P Piso]]-(Tabla1[[#This Row],[P Piso]]*20%)</f>
        <v>2218.8211200000001</v>
      </c>
      <c r="I197" s="434">
        <f>IF((1-(Tabla1[[#This Row],[P Piso-20%]]/Tabla1[[#This Row],[P Oferta]]))=1,0,1-(Tabla1[[#This Row],[P Piso-20%]]/Tabla1[[#This Row],[P Oferta]]))</f>
        <v>0.63143946269740425</v>
      </c>
      <c r="J197" s="439">
        <f>Tabla1[[#This Row],[P Piso]]-(Tabla1[[#This Row],[P Piso]]*25%)</f>
        <v>2080.1448</v>
      </c>
      <c r="K197" s="440">
        <f>IF((1-(Tabla1[[#This Row],[P Piso-25%]]/Tabla1[[#This Row],[P Oferta]]))=1,0,1-(Tabla1[[#This Row],[P Piso-25%]]/Tabla1[[#This Row],[P Oferta]]))</f>
        <v>0.65447449627881649</v>
      </c>
      <c r="L197" s="379"/>
      <c r="M197" s="469">
        <v>193</v>
      </c>
      <c r="N197" s="473"/>
      <c r="O197" s="473"/>
      <c r="P197" s="474"/>
      <c r="Q197" s="381"/>
      <c r="R197" s="380"/>
      <c r="S197" s="381"/>
      <c r="T197" s="106"/>
      <c r="U197" s="107"/>
      <c r="W197" s="377">
        <v>0</v>
      </c>
    </row>
    <row r="198" spans="1:23" ht="13.5" customHeight="1">
      <c r="A198" s="477">
        <v>178</v>
      </c>
      <c r="B198" s="478" t="s">
        <v>197</v>
      </c>
      <c r="C198" s="378" t="s">
        <v>365</v>
      </c>
      <c r="D198" s="387">
        <f>VLOOKUP(A198,'Evento Cotiz'!$W$49:$Y$455,3,FALSE)</f>
        <v>0</v>
      </c>
      <c r="E198" s="422">
        <f>VLOOKUP(A198,'Evento Cotiz'!$A$49:$T$459,12,FALSE)</f>
        <v>7392.7919999999995</v>
      </c>
      <c r="F198" s="427">
        <f>VLOOKUP(A198,'Evento Cotiz'!$A$49:$T$459,13,FALSE)</f>
        <v>2773.5264000000002</v>
      </c>
      <c r="G198" s="428">
        <f>Tabla1[[#This Row],[Cantidad]]*Tabla1[[#This Row],[P Piso]]</f>
        <v>0</v>
      </c>
      <c r="H198" s="433">
        <f>Tabla1[[#This Row],[P Piso]]-(Tabla1[[#This Row],[P Piso]]*20%)</f>
        <v>2218.8211200000001</v>
      </c>
      <c r="I198" s="434">
        <f>IF((1-(Tabla1[[#This Row],[P Piso-20%]]/Tabla1[[#This Row],[P Oferta]]))=1,0,1-(Tabla1[[#This Row],[P Piso-20%]]/Tabla1[[#This Row],[P Oferta]]))</f>
        <v>0.69986696230598666</v>
      </c>
      <c r="J198" s="439">
        <f>Tabla1[[#This Row],[P Piso]]-(Tabla1[[#This Row],[P Piso]]*25%)</f>
        <v>2080.1448</v>
      </c>
      <c r="K198" s="440">
        <f>IF((1-(Tabla1[[#This Row],[P Piso-25%]]/Tabla1[[#This Row],[P Oferta]]))=1,0,1-(Tabla1[[#This Row],[P Piso-25%]]/Tabla1[[#This Row],[P Oferta]]))</f>
        <v>0.71862527716186253</v>
      </c>
      <c r="L198" s="379"/>
      <c r="M198" s="469">
        <v>194</v>
      </c>
      <c r="N198" s="473"/>
      <c r="O198" s="473"/>
      <c r="P198" s="474"/>
      <c r="Q198" s="381"/>
      <c r="R198" s="380"/>
      <c r="S198" s="381"/>
      <c r="T198" s="106"/>
      <c r="U198" s="107"/>
      <c r="W198" s="377">
        <v>0</v>
      </c>
    </row>
    <row r="199" spans="1:23" ht="13.5" customHeight="1">
      <c r="A199" s="477">
        <v>179</v>
      </c>
      <c r="B199" s="478" t="s">
        <v>198</v>
      </c>
      <c r="C199" s="378" t="s">
        <v>365</v>
      </c>
      <c r="D199" s="387">
        <f>VLOOKUP(A199,'Evento Cotiz'!$W$49:$Y$455,3,FALSE)</f>
        <v>0</v>
      </c>
      <c r="E199" s="422">
        <f>VLOOKUP(A199,'Evento Cotiz'!$A$49:$T$459,12,FALSE)</f>
        <v>21670.223999999998</v>
      </c>
      <c r="F199" s="427">
        <f>VLOOKUP(A199,'Evento Cotiz'!$A$49:$T$459,13,FALSE)</f>
        <v>8481.2207999999991</v>
      </c>
      <c r="G199" s="428">
        <f>Tabla1[[#This Row],[Cantidad]]*Tabla1[[#This Row],[P Piso]]</f>
        <v>0</v>
      </c>
      <c r="H199" s="433">
        <f>Tabla1[[#This Row],[P Piso]]-(Tabla1[[#This Row],[P Piso]]*20%)</f>
        <v>6784.976639999999</v>
      </c>
      <c r="I199" s="434">
        <f>IF((1-(Tabla1[[#This Row],[P Piso-20%]]/Tabla1[[#This Row],[P Oferta]]))=1,0,1-(Tabla1[[#This Row],[P Piso-20%]]/Tabla1[[#This Row],[P Oferta]]))</f>
        <v>0.68689863842662635</v>
      </c>
      <c r="J199" s="439">
        <f>Tabla1[[#This Row],[P Piso]]-(Tabla1[[#This Row],[P Piso]]*25%)</f>
        <v>6360.9155999999994</v>
      </c>
      <c r="K199" s="440">
        <f>IF((1-(Tabla1[[#This Row],[P Piso-25%]]/Tabla1[[#This Row],[P Oferta]]))=1,0,1-(Tabla1[[#This Row],[P Piso-25%]]/Tabla1[[#This Row],[P Oferta]]))</f>
        <v>0.7064674735249622</v>
      </c>
      <c r="L199" s="379"/>
      <c r="M199" s="469">
        <v>195</v>
      </c>
      <c r="N199" s="473"/>
      <c r="O199" s="473"/>
      <c r="P199" s="474"/>
      <c r="Q199" s="381"/>
      <c r="R199" s="380"/>
      <c r="S199" s="381"/>
      <c r="T199" s="106"/>
      <c r="U199" s="107"/>
      <c r="W199" s="377">
        <v>0</v>
      </c>
    </row>
    <row r="200" spans="1:23" ht="13.5" customHeight="1">
      <c r="A200" s="477">
        <v>181</v>
      </c>
      <c r="B200" s="478" t="s">
        <v>200</v>
      </c>
      <c r="C200" s="378" t="s">
        <v>365</v>
      </c>
      <c r="D200" s="387">
        <f>VLOOKUP(A200,'Evento Cotiz'!$W$49:$Y$455,3,FALSE)</f>
        <v>0</v>
      </c>
      <c r="E200" s="422">
        <f>VLOOKUP(A200,'Evento Cotiz'!$A$49:$T$459,12,FALSE)</f>
        <v>2534.2031999999999</v>
      </c>
      <c r="F200" s="427">
        <f>VLOOKUP(A200,'Evento Cotiz'!$A$49:$T$459,13,FALSE)</f>
        <v>700.48479999999995</v>
      </c>
      <c r="G200" s="428">
        <f>Tabla1[[#This Row],[Cantidad]]*Tabla1[[#This Row],[P Piso]]</f>
        <v>0</v>
      </c>
      <c r="H200" s="433">
        <f>Tabla1[[#This Row],[P Piso]]-(Tabla1[[#This Row],[P Piso]]*20%)</f>
        <v>560.38783999999998</v>
      </c>
      <c r="I200" s="434">
        <f>IF((1-(Tabla1[[#This Row],[P Piso-20%]]/Tabla1[[#This Row],[P Oferta]]))=1,0,1-(Tabla1[[#This Row],[P Piso-20%]]/Tabla1[[#This Row],[P Oferta]]))</f>
        <v>0.77887020267356621</v>
      </c>
      <c r="J200" s="439">
        <f>Tabla1[[#This Row],[P Piso]]-(Tabla1[[#This Row],[P Piso]]*25%)</f>
        <v>525.36359999999991</v>
      </c>
      <c r="K200" s="440">
        <f>IF((1-(Tabla1[[#This Row],[P Piso-25%]]/Tabla1[[#This Row],[P Oferta]]))=1,0,1-(Tabla1[[#This Row],[P Piso-25%]]/Tabla1[[#This Row],[P Oferta]]))</f>
        <v>0.79269081500646832</v>
      </c>
      <c r="L200" s="379"/>
      <c r="M200" s="469">
        <v>196</v>
      </c>
      <c r="N200" s="473"/>
      <c r="O200" s="473"/>
      <c r="P200" s="474"/>
      <c r="Q200" s="381"/>
      <c r="R200" s="380"/>
      <c r="S200" s="381"/>
      <c r="T200" s="106"/>
      <c r="U200" s="107"/>
      <c r="W200" s="377">
        <v>0</v>
      </c>
    </row>
    <row r="201" spans="1:23" ht="13.5" customHeight="1">
      <c r="A201" s="477">
        <v>182</v>
      </c>
      <c r="B201" s="478" t="s">
        <v>201</v>
      </c>
      <c r="C201" s="378" t="s">
        <v>365</v>
      </c>
      <c r="D201" s="387">
        <f>VLOOKUP(A201,'Evento Cotiz'!$W$49:$Y$455,3,FALSE)</f>
        <v>0</v>
      </c>
      <c r="E201" s="422">
        <f>VLOOKUP(A201,'Evento Cotiz'!$A$49:$T$459,12,FALSE)</f>
        <v>4425.84</v>
      </c>
      <c r="F201" s="427">
        <f>VLOOKUP(A201,'Evento Cotiz'!$A$49:$T$459,13,FALSE)</f>
        <v>1291.6895999999999</v>
      </c>
      <c r="G201" s="428">
        <f>Tabla1[[#This Row],[Cantidad]]*Tabla1[[#This Row],[P Piso]]</f>
        <v>0</v>
      </c>
      <c r="H201" s="433">
        <f>Tabla1[[#This Row],[P Piso]]-(Tabla1[[#This Row],[P Piso]]*20%)</f>
        <v>1033.35168</v>
      </c>
      <c r="I201" s="434">
        <f>IF((1-(Tabla1[[#This Row],[P Piso-20%]]/Tabla1[[#This Row],[P Oferta]]))=1,0,1-(Tabla1[[#This Row],[P Piso-20%]]/Tabla1[[#This Row],[P Oferta]]))</f>
        <v>0.76651851851851849</v>
      </c>
      <c r="J201" s="439">
        <f>Tabla1[[#This Row],[P Piso]]-(Tabla1[[#This Row],[P Piso]]*25%)</f>
        <v>968.7672</v>
      </c>
      <c r="K201" s="440">
        <f>IF((1-(Tabla1[[#This Row],[P Piso-25%]]/Tabla1[[#This Row],[P Oferta]]))=1,0,1-(Tabla1[[#This Row],[P Piso-25%]]/Tabla1[[#This Row],[P Oferta]]))</f>
        <v>0.78111111111111109</v>
      </c>
      <c r="L201" s="379"/>
      <c r="M201" s="469">
        <v>197</v>
      </c>
      <c r="N201" s="473"/>
      <c r="O201" s="473"/>
      <c r="P201" s="474"/>
      <c r="Q201" s="381"/>
      <c r="R201" s="380"/>
      <c r="S201" s="381"/>
      <c r="T201" s="106"/>
      <c r="U201" s="107"/>
      <c r="W201" s="377">
        <v>0</v>
      </c>
    </row>
    <row r="202" spans="1:23" ht="13.5" customHeight="1">
      <c r="A202" s="477">
        <v>183</v>
      </c>
      <c r="B202" s="478" t="s">
        <v>202</v>
      </c>
      <c r="C202" s="378" t="s">
        <v>365</v>
      </c>
      <c r="D202" s="387">
        <f>VLOOKUP(A202,'Evento Cotiz'!$W$49:$Y$455,3,FALSE)</f>
        <v>0</v>
      </c>
      <c r="E202" s="422">
        <f>VLOOKUP(A202,'Evento Cotiz'!$A$49:$T$459,12,FALSE)</f>
        <v>2447.8719999999998</v>
      </c>
      <c r="F202" s="427">
        <f>VLOOKUP(A202,'Evento Cotiz'!$A$49:$T$459,13,FALSE)</f>
        <v>1348.5152</v>
      </c>
      <c r="G202" s="428">
        <f>Tabla1[[#This Row],[Cantidad]]*Tabla1[[#This Row],[P Piso]]</f>
        <v>0</v>
      </c>
      <c r="H202" s="433">
        <f>Tabla1[[#This Row],[P Piso]]-(Tabla1[[#This Row],[P Piso]]*20%)</f>
        <v>1078.8121599999999</v>
      </c>
      <c r="I202" s="434">
        <f>IF((1-(Tabla1[[#This Row],[P Piso-20%]]/Tabla1[[#This Row],[P Oferta]]))=1,0,1-(Tabla1[[#This Row],[P Piso-20%]]/Tabla1[[#This Row],[P Oferta]]))</f>
        <v>0.55928571428571427</v>
      </c>
      <c r="J202" s="439">
        <f>Tabla1[[#This Row],[P Piso]]-(Tabla1[[#This Row],[P Piso]]*25%)</f>
        <v>1011.3864000000001</v>
      </c>
      <c r="K202" s="440">
        <f>IF((1-(Tabla1[[#This Row],[P Piso-25%]]/Tabla1[[#This Row],[P Oferta]]))=1,0,1-(Tabla1[[#This Row],[P Piso-25%]]/Tabla1[[#This Row],[P Oferta]]))</f>
        <v>0.58683035714285703</v>
      </c>
      <c r="L202" s="379"/>
      <c r="M202" s="469">
        <v>198</v>
      </c>
      <c r="N202" s="473"/>
      <c r="O202" s="473"/>
      <c r="P202" s="474"/>
      <c r="Q202" s="381"/>
      <c r="R202" s="380"/>
      <c r="S202" s="381"/>
      <c r="T202" s="106"/>
      <c r="U202" s="107"/>
      <c r="W202" s="377">
        <v>0</v>
      </c>
    </row>
    <row r="203" spans="1:23" ht="13.5" customHeight="1">
      <c r="A203" s="477">
        <v>185</v>
      </c>
      <c r="B203" s="478" t="s">
        <v>204</v>
      </c>
      <c r="C203" s="378" t="s">
        <v>365</v>
      </c>
      <c r="D203" s="387">
        <f>VLOOKUP(A203,'Evento Cotiz'!$W$49:$Y$455,3,FALSE)</f>
        <v>0</v>
      </c>
      <c r="E203" s="422">
        <f>VLOOKUP(A203,'Evento Cotiz'!$A$49:$T$459,12,FALSE)</f>
        <v>6786.2880000000005</v>
      </c>
      <c r="F203" s="427">
        <f>VLOOKUP(A203,'Evento Cotiz'!$A$49:$T$459,13,FALSE)</f>
        <v>3524.2799999999997</v>
      </c>
      <c r="G203" s="428">
        <f>Tabla1[[#This Row],[Cantidad]]*Tabla1[[#This Row],[P Piso]]</f>
        <v>0</v>
      </c>
      <c r="H203" s="433">
        <f>Tabla1[[#This Row],[P Piso]]-(Tabla1[[#This Row],[P Piso]]*20%)</f>
        <v>2819.424</v>
      </c>
      <c r="I203" s="434">
        <f>IF((1-(Tabla1[[#This Row],[P Piso-20%]]/Tabla1[[#This Row],[P Oferta]]))=1,0,1-(Tabla1[[#This Row],[P Piso-20%]]/Tabla1[[#This Row],[P Oferta]]))</f>
        <v>0.58454106280193241</v>
      </c>
      <c r="J203" s="439">
        <f>Tabla1[[#This Row],[P Piso]]-(Tabla1[[#This Row],[P Piso]]*25%)</f>
        <v>2643.21</v>
      </c>
      <c r="K203" s="440">
        <f>IF((1-(Tabla1[[#This Row],[P Piso-25%]]/Tabla1[[#This Row],[P Oferta]]))=1,0,1-(Tabla1[[#This Row],[P Piso-25%]]/Tabla1[[#This Row],[P Oferta]]))</f>
        <v>0.61050724637681164</v>
      </c>
      <c r="L203" s="379"/>
      <c r="M203" s="469">
        <v>199</v>
      </c>
      <c r="N203" s="473"/>
      <c r="O203" s="473"/>
      <c r="P203" s="474"/>
      <c r="Q203" s="381"/>
      <c r="R203" s="380"/>
      <c r="S203" s="381"/>
      <c r="T203" s="106"/>
      <c r="U203" s="107"/>
      <c r="W203" s="377">
        <v>0</v>
      </c>
    </row>
    <row r="204" spans="1:23" ht="13.5" customHeight="1">
      <c r="A204" s="477">
        <v>186</v>
      </c>
      <c r="B204" s="478" t="s">
        <v>205</v>
      </c>
      <c r="C204" s="378" t="s">
        <v>365</v>
      </c>
      <c r="D204" s="387">
        <f>VLOOKUP(A204,'Evento Cotiz'!$W$49:$Y$455,3,FALSE)</f>
        <v>0</v>
      </c>
      <c r="E204" s="422">
        <f>VLOOKUP(A204,'Evento Cotiz'!$A$49:$T$459,12,FALSE)</f>
        <v>18987.400000000001</v>
      </c>
      <c r="F204" s="427">
        <f>VLOOKUP(A204,'Evento Cotiz'!$A$49:$T$459,13,FALSE)</f>
        <v>9179.52</v>
      </c>
      <c r="G204" s="428">
        <f>Tabla1[[#This Row],[Cantidad]]*Tabla1[[#This Row],[P Piso]]</f>
        <v>0</v>
      </c>
      <c r="H204" s="433">
        <f>Tabla1[[#This Row],[P Piso]]-(Tabla1[[#This Row],[P Piso]]*20%)</f>
        <v>7343.616</v>
      </c>
      <c r="I204" s="434">
        <f>IF((1-(Tabla1[[#This Row],[P Piso-20%]]/Tabla1[[#This Row],[P Oferta]]))=1,0,1-(Tabla1[[#This Row],[P Piso-20%]]/Tabla1[[#This Row],[P Oferta]]))</f>
        <v>0.61323741007194243</v>
      </c>
      <c r="J204" s="439">
        <f>Tabla1[[#This Row],[P Piso]]-(Tabla1[[#This Row],[P Piso]]*25%)</f>
        <v>6884.64</v>
      </c>
      <c r="K204" s="440">
        <f>IF((1-(Tabla1[[#This Row],[P Piso-25%]]/Tabla1[[#This Row],[P Oferta]]))=1,0,1-(Tabla1[[#This Row],[P Piso-25%]]/Tabla1[[#This Row],[P Oferta]]))</f>
        <v>0.63741007194244603</v>
      </c>
      <c r="L204" s="379"/>
      <c r="M204" s="469">
        <v>200</v>
      </c>
      <c r="N204" s="473"/>
      <c r="O204" s="473"/>
      <c r="P204" s="474"/>
      <c r="Q204" s="381"/>
      <c r="R204" s="380"/>
      <c r="S204" s="381"/>
      <c r="T204" s="106"/>
      <c r="U204" s="107"/>
      <c r="W204" s="377">
        <v>0</v>
      </c>
    </row>
    <row r="205" spans="1:23" ht="13.5" customHeight="1">
      <c r="A205" s="477">
        <v>187</v>
      </c>
      <c r="B205" s="478" t="s">
        <v>206</v>
      </c>
      <c r="C205" s="378" t="s">
        <v>365</v>
      </c>
      <c r="D205" s="387">
        <f>VLOOKUP(A205,'Evento Cotiz'!$W$49:$Y$455,3,FALSE)</f>
        <v>0</v>
      </c>
      <c r="E205" s="422">
        <f>VLOOKUP(A205,'Evento Cotiz'!$A$49:$T$459,12,FALSE)</f>
        <v>8331.5072</v>
      </c>
      <c r="F205" s="427">
        <f>VLOOKUP(A205,'Evento Cotiz'!$A$49:$T$459,13,FALSE)</f>
        <v>3524.2799999999997</v>
      </c>
      <c r="G205" s="428">
        <f>Tabla1[[#This Row],[Cantidad]]*Tabla1[[#This Row],[P Piso]]</f>
        <v>0</v>
      </c>
      <c r="H205" s="433">
        <f>Tabla1[[#This Row],[P Piso]]-(Tabla1[[#This Row],[P Piso]]*20%)</f>
        <v>2819.424</v>
      </c>
      <c r="I205" s="434">
        <f>IF((1-(Tabla1[[#This Row],[P Piso-20%]]/Tabla1[[#This Row],[P Oferta]]))=1,0,1-(Tabla1[[#This Row],[P Piso-20%]]/Tabla1[[#This Row],[P Oferta]]))</f>
        <v>0.66159496327387202</v>
      </c>
      <c r="J205" s="439">
        <f>Tabla1[[#This Row],[P Piso]]-(Tabla1[[#This Row],[P Piso]]*25%)</f>
        <v>2643.21</v>
      </c>
      <c r="K205" s="440">
        <f>IF((1-(Tabla1[[#This Row],[P Piso-25%]]/Tabla1[[#This Row],[P Oferta]]))=1,0,1-(Tabla1[[#This Row],[P Piso-25%]]/Tabla1[[#This Row],[P Oferta]]))</f>
        <v>0.682745278069255</v>
      </c>
      <c r="L205" s="379"/>
      <c r="M205" s="469">
        <v>201</v>
      </c>
      <c r="N205" s="473"/>
      <c r="O205" s="473"/>
      <c r="P205" s="474"/>
      <c r="Q205" s="381"/>
      <c r="R205" s="380"/>
      <c r="S205" s="381"/>
      <c r="T205" s="106"/>
      <c r="U205" s="107"/>
      <c r="W205" s="377">
        <v>0</v>
      </c>
    </row>
    <row r="206" spans="1:23" ht="13.5" customHeight="1">
      <c r="A206" s="477">
        <v>188</v>
      </c>
      <c r="B206" s="478" t="s">
        <v>207</v>
      </c>
      <c r="C206" s="378" t="s">
        <v>365</v>
      </c>
      <c r="D206" s="387">
        <f>VLOOKUP(A206,'Evento Cotiz'!$W$49:$Y$455,3,FALSE)</f>
        <v>0</v>
      </c>
      <c r="E206" s="422">
        <f>VLOOKUP(A206,'Evento Cotiz'!$A$49:$T$459,12,FALSE)</f>
        <v>15501.368</v>
      </c>
      <c r="F206" s="427">
        <f>VLOOKUP(A206,'Evento Cotiz'!$A$49:$T$459,13,FALSE)</f>
        <v>4202.9088000000002</v>
      </c>
      <c r="G206" s="428">
        <f>Tabla1[[#This Row],[Cantidad]]*Tabla1[[#This Row],[P Piso]]</f>
        <v>0</v>
      </c>
      <c r="H206" s="433">
        <f>Tabla1[[#This Row],[P Piso]]-(Tabla1[[#This Row],[P Piso]]*20%)</f>
        <v>3362.3270400000001</v>
      </c>
      <c r="I206" s="434">
        <f>IF((1-(Tabla1[[#This Row],[P Piso-20%]]/Tabla1[[#This Row],[P Oferta]]))=1,0,1-(Tabla1[[#This Row],[P Piso-20%]]/Tabla1[[#This Row],[P Oferta]]))</f>
        <v>0.783094818470215</v>
      </c>
      <c r="J206" s="439">
        <f>Tabla1[[#This Row],[P Piso]]-(Tabla1[[#This Row],[P Piso]]*25%)</f>
        <v>3152.1815999999999</v>
      </c>
      <c r="K206" s="440">
        <f>IF((1-(Tabla1[[#This Row],[P Piso-25%]]/Tabla1[[#This Row],[P Oferta]]))=1,0,1-(Tabla1[[#This Row],[P Piso-25%]]/Tabla1[[#This Row],[P Oferta]]))</f>
        <v>0.7966513923158266</v>
      </c>
      <c r="L206" s="379"/>
      <c r="M206" s="469">
        <v>202</v>
      </c>
      <c r="N206" s="473"/>
      <c r="O206" s="473"/>
      <c r="P206" s="474"/>
      <c r="Q206" s="381"/>
      <c r="R206" s="380"/>
      <c r="S206" s="381"/>
      <c r="T206" s="106"/>
      <c r="U206" s="107"/>
      <c r="W206" s="377">
        <v>0</v>
      </c>
    </row>
    <row r="207" spans="1:23" ht="13.5" customHeight="1">
      <c r="A207" s="477">
        <v>189</v>
      </c>
      <c r="B207" s="478" t="s">
        <v>208</v>
      </c>
      <c r="C207" s="378" t="s">
        <v>365</v>
      </c>
      <c r="D207" s="387">
        <f>VLOOKUP(A207,'Evento Cotiz'!$W$49:$Y$455,3,FALSE)</f>
        <v>0</v>
      </c>
      <c r="E207" s="422">
        <f>VLOOKUP(A207,'Evento Cotiz'!$A$49:$T$459,12,FALSE)</f>
        <v>17665.112000000001</v>
      </c>
      <c r="F207" s="427">
        <f>VLOOKUP(A207,'Evento Cotiz'!$A$49:$T$459,13,FALSE)</f>
        <v>2019.4944</v>
      </c>
      <c r="G207" s="428">
        <f>Tabla1[[#This Row],[Cantidad]]*Tabla1[[#This Row],[P Piso]]</f>
        <v>0</v>
      </c>
      <c r="H207" s="433">
        <f>Tabla1[[#This Row],[P Piso]]-(Tabla1[[#This Row],[P Piso]]*20%)</f>
        <v>1615.5955200000001</v>
      </c>
      <c r="I207" s="434">
        <f>IF((1-(Tabla1[[#This Row],[P Piso-20%]]/Tabla1[[#This Row],[P Oferta]]))=1,0,1-(Tabla1[[#This Row],[P Piso-20%]]/Tabla1[[#This Row],[P Oferta]]))</f>
        <v>0.90854314877822451</v>
      </c>
      <c r="J207" s="439">
        <f>Tabla1[[#This Row],[P Piso]]-(Tabla1[[#This Row],[P Piso]]*25%)</f>
        <v>1514.6208000000001</v>
      </c>
      <c r="K207" s="440">
        <f>IF((1-(Tabla1[[#This Row],[P Piso-25%]]/Tabla1[[#This Row],[P Oferta]]))=1,0,1-(Tabla1[[#This Row],[P Piso-25%]]/Tabla1[[#This Row],[P Oferta]]))</f>
        <v>0.91425920197958555</v>
      </c>
      <c r="L207" s="379"/>
      <c r="M207" s="469">
        <v>203</v>
      </c>
      <c r="N207" s="473"/>
      <c r="O207" s="473"/>
      <c r="P207" s="474"/>
      <c r="Q207" s="381"/>
      <c r="R207" s="380"/>
      <c r="S207" s="381"/>
      <c r="T207" s="106"/>
      <c r="U207" s="107"/>
      <c r="W207" s="377">
        <v>0</v>
      </c>
    </row>
    <row r="208" spans="1:23" ht="13.5" customHeight="1">
      <c r="A208" s="477">
        <v>190</v>
      </c>
      <c r="B208" s="478" t="s">
        <v>209</v>
      </c>
      <c r="C208" s="378" t="s">
        <v>365</v>
      </c>
      <c r="D208" s="387">
        <f>VLOOKUP(A208,'Evento Cotiz'!$W$49:$Y$455,3,FALSE)</f>
        <v>0</v>
      </c>
      <c r="E208" s="422">
        <f>VLOOKUP(A208,'Evento Cotiz'!$A$49:$T$459,12,FALSE)</f>
        <v>2003.1024</v>
      </c>
      <c r="F208" s="427">
        <f>VLOOKUP(A208,'Evento Cotiz'!$A$49:$T$459,13,FALSE)</f>
        <v>489.57439999999997</v>
      </c>
      <c r="G208" s="428">
        <f>Tabla1[[#This Row],[Cantidad]]*Tabla1[[#This Row],[P Piso]]</f>
        <v>0</v>
      </c>
      <c r="H208" s="433">
        <f>Tabla1[[#This Row],[P Piso]]-(Tabla1[[#This Row],[P Piso]]*20%)</f>
        <v>391.65951999999999</v>
      </c>
      <c r="I208" s="434">
        <f>IF((1-(Tabla1[[#This Row],[P Piso-20%]]/Tabla1[[#This Row],[P Oferta]]))=1,0,1-(Tabla1[[#This Row],[P Piso-20%]]/Tabla1[[#This Row],[P Oferta]]))</f>
        <v>0.80447354064375343</v>
      </c>
      <c r="J208" s="439">
        <f>Tabla1[[#This Row],[P Piso]]-(Tabla1[[#This Row],[P Piso]]*25%)</f>
        <v>367.18079999999998</v>
      </c>
      <c r="K208" s="440">
        <f>IF((1-(Tabla1[[#This Row],[P Piso-25%]]/Tabla1[[#This Row],[P Oferta]]))=1,0,1-(Tabla1[[#This Row],[P Piso-25%]]/Tabla1[[#This Row],[P Oferta]]))</f>
        <v>0.81669394435351883</v>
      </c>
      <c r="L208" s="379"/>
      <c r="M208" s="469">
        <v>204</v>
      </c>
      <c r="N208" s="473"/>
      <c r="O208" s="473"/>
      <c r="P208" s="474"/>
      <c r="Q208" s="381"/>
      <c r="R208" s="380"/>
      <c r="S208" s="381"/>
      <c r="T208" s="106"/>
      <c r="U208" s="107"/>
      <c r="W208" s="377">
        <v>0</v>
      </c>
    </row>
    <row r="209" spans="1:23" ht="13.5" customHeight="1">
      <c r="A209" s="477">
        <v>191</v>
      </c>
      <c r="B209" s="478" t="s">
        <v>210</v>
      </c>
      <c r="C209" s="378" t="s">
        <v>365</v>
      </c>
      <c r="D209" s="387">
        <f>VLOOKUP(A209,'Evento Cotiz'!$W$49:$Y$455,3,FALSE)</f>
        <v>0</v>
      </c>
      <c r="E209" s="422">
        <f>VLOOKUP(A209,'Evento Cotiz'!$A$49:$T$459,12,FALSE)</f>
        <v>3572.3631999999998</v>
      </c>
      <c r="F209" s="427">
        <f>VLOOKUP(A209,'Evento Cotiz'!$A$49:$T$459,13,FALSE)</f>
        <v>1140.8832</v>
      </c>
      <c r="G209" s="428">
        <f>Tabla1[[#This Row],[Cantidad]]*Tabla1[[#This Row],[P Piso]]</f>
        <v>0</v>
      </c>
      <c r="H209" s="433">
        <f>Tabla1[[#This Row],[P Piso]]-(Tabla1[[#This Row],[P Piso]]*20%)</f>
        <v>912.70655999999997</v>
      </c>
      <c r="I209" s="434">
        <f>IF((1-(Tabla1[[#This Row],[P Piso-20%]]/Tabla1[[#This Row],[P Oferta]]))=1,0,1-(Tabla1[[#This Row],[P Piso-20%]]/Tabla1[[#This Row],[P Oferta]]))</f>
        <v>0.74450902416641174</v>
      </c>
      <c r="J209" s="439">
        <f>Tabla1[[#This Row],[P Piso]]-(Tabla1[[#This Row],[P Piso]]*25%)</f>
        <v>855.66239999999993</v>
      </c>
      <c r="K209" s="440">
        <f>IF((1-(Tabla1[[#This Row],[P Piso-25%]]/Tabla1[[#This Row],[P Oferta]]))=1,0,1-(Tabla1[[#This Row],[P Piso-25%]]/Tabla1[[#This Row],[P Oferta]]))</f>
        <v>0.760477210156011</v>
      </c>
      <c r="L209" s="379"/>
      <c r="M209" s="469">
        <v>205</v>
      </c>
      <c r="N209" s="473"/>
      <c r="O209" s="473"/>
      <c r="P209" s="474"/>
      <c r="Q209" s="381"/>
      <c r="R209" s="380"/>
      <c r="S209" s="381"/>
      <c r="T209" s="106"/>
      <c r="U209" s="107"/>
      <c r="W209" s="377">
        <v>0</v>
      </c>
    </row>
    <row r="210" spans="1:23" ht="13.5" customHeight="1">
      <c r="A210" s="477">
        <v>192</v>
      </c>
      <c r="B210" s="478" t="s">
        <v>211</v>
      </c>
      <c r="C210" s="378" t="s">
        <v>365</v>
      </c>
      <c r="D210" s="387">
        <f>VLOOKUP(A210,'Evento Cotiz'!$W$49:$Y$455,3,FALSE)</f>
        <v>0</v>
      </c>
      <c r="E210" s="422">
        <f>VLOOKUP(A210,'Evento Cotiz'!$A$49:$T$459,12,FALSE)</f>
        <v>3869.6048000000001</v>
      </c>
      <c r="F210" s="427">
        <f>VLOOKUP(A210,'Evento Cotiz'!$A$49:$T$459,13,FALSE)</f>
        <v>1550.6831999999999</v>
      </c>
      <c r="G210" s="428">
        <f>Tabla1[[#This Row],[Cantidad]]*Tabla1[[#This Row],[P Piso]]</f>
        <v>0</v>
      </c>
      <c r="H210" s="433">
        <f>Tabla1[[#This Row],[P Piso]]-(Tabla1[[#This Row],[P Piso]]*20%)</f>
        <v>1240.54656</v>
      </c>
      <c r="I210" s="434">
        <f>IF((1-(Tabla1[[#This Row],[P Piso-20%]]/Tabla1[[#This Row],[P Oferta]]))=1,0,1-(Tabla1[[#This Row],[P Piso-20%]]/Tabla1[[#This Row],[P Oferta]]))</f>
        <v>0.67941259531205866</v>
      </c>
      <c r="J210" s="439">
        <f>Tabla1[[#This Row],[P Piso]]-(Tabla1[[#This Row],[P Piso]]*25%)</f>
        <v>1163.0124000000001</v>
      </c>
      <c r="K210" s="440">
        <f>IF((1-(Tabla1[[#This Row],[P Piso-25%]]/Tabla1[[#This Row],[P Oferta]]))=1,0,1-(Tabla1[[#This Row],[P Piso-25%]]/Tabla1[[#This Row],[P Oferta]]))</f>
        <v>0.69944930810505501</v>
      </c>
      <c r="L210" s="379"/>
      <c r="M210" s="469">
        <v>206</v>
      </c>
      <c r="N210" s="473"/>
      <c r="O210" s="473"/>
      <c r="P210" s="474"/>
      <c r="Q210" s="381"/>
      <c r="R210" s="380"/>
      <c r="S210" s="381"/>
      <c r="T210" s="106"/>
      <c r="U210" s="107"/>
      <c r="W210" s="377">
        <v>0</v>
      </c>
    </row>
    <row r="211" spans="1:23" ht="13.5" customHeight="1">
      <c r="A211" s="477">
        <v>194</v>
      </c>
      <c r="B211" s="478" t="s">
        <v>213</v>
      </c>
      <c r="C211" s="378" t="s">
        <v>365</v>
      </c>
      <c r="D211" s="387">
        <f>VLOOKUP(A211,'Evento Cotiz'!$W$49:$Y$455,3,FALSE)</f>
        <v>0</v>
      </c>
      <c r="E211" s="422">
        <f>VLOOKUP(A211,'Evento Cotiz'!$A$49:$T$459,12,FALSE)</f>
        <v>36033.987200000003</v>
      </c>
      <c r="F211" s="427">
        <f>VLOOKUP(A211,'Evento Cotiz'!$A$49:$T$459,13,FALSE)</f>
        <v>13494.9872</v>
      </c>
      <c r="G211" s="428">
        <f>Tabla1[[#This Row],[Cantidad]]*Tabla1[[#This Row],[P Piso]]</f>
        <v>0</v>
      </c>
      <c r="H211" s="433">
        <f>Tabla1[[#This Row],[P Piso]]-(Tabla1[[#This Row],[P Piso]]*20%)</f>
        <v>10795.98976</v>
      </c>
      <c r="I211" s="434">
        <f>IF((1-(Tabla1[[#This Row],[P Piso-20%]]/Tabla1[[#This Row],[P Oferta]]))=1,0,1-(Tabla1[[#This Row],[P Piso-20%]]/Tabla1[[#This Row],[P Oferta]]))</f>
        <v>0.70039425001516342</v>
      </c>
      <c r="J211" s="439">
        <f>Tabla1[[#This Row],[P Piso]]-(Tabla1[[#This Row],[P Piso]]*25%)</f>
        <v>10121.240399999999</v>
      </c>
      <c r="K211" s="440">
        <f>IF((1-(Tabla1[[#This Row],[P Piso-25%]]/Tabla1[[#This Row],[P Oferta]]))=1,0,1-(Tabla1[[#This Row],[P Piso-25%]]/Tabla1[[#This Row],[P Oferta]]))</f>
        <v>0.71911960938921582</v>
      </c>
      <c r="L211" s="379"/>
      <c r="M211" s="469">
        <v>207</v>
      </c>
      <c r="N211" s="473"/>
      <c r="O211" s="473"/>
      <c r="P211" s="474"/>
      <c r="Q211" s="381"/>
      <c r="R211" s="380"/>
      <c r="S211" s="381"/>
      <c r="T211" s="106"/>
      <c r="U211" s="107"/>
      <c r="W211" s="377">
        <v>0</v>
      </c>
    </row>
    <row r="212" spans="1:23" ht="13.5" customHeight="1">
      <c r="A212" s="477">
        <v>195</v>
      </c>
      <c r="B212" s="478" t="s">
        <v>214</v>
      </c>
      <c r="C212" s="378" t="s">
        <v>365</v>
      </c>
      <c r="D212" s="387">
        <f>VLOOKUP(A212,'Evento Cotiz'!$W$49:$Y$455,3,FALSE)</f>
        <v>0</v>
      </c>
      <c r="E212" s="422">
        <f>VLOOKUP(A212,'Evento Cotiz'!$A$49:$T$459,12,FALSE)</f>
        <v>18060.705600000001</v>
      </c>
      <c r="F212" s="427">
        <f>VLOOKUP(A212,'Evento Cotiz'!$A$49:$T$459,13,FALSE)</f>
        <v>952.92160000000001</v>
      </c>
      <c r="G212" s="428">
        <f>Tabla1[[#This Row],[Cantidad]]*Tabla1[[#This Row],[P Piso]]</f>
        <v>0</v>
      </c>
      <c r="H212" s="433">
        <f>Tabla1[[#This Row],[P Piso]]-(Tabla1[[#This Row],[P Piso]]*20%)</f>
        <v>762.33727999999996</v>
      </c>
      <c r="I212" s="434">
        <f>IF((1-(Tabla1[[#This Row],[P Piso-20%]]/Tabla1[[#This Row],[P Oferta]]))=1,0,1-(Tabla1[[#This Row],[P Piso-20%]]/Tabla1[[#This Row],[P Oferta]]))</f>
        <v>0.9577902825679192</v>
      </c>
      <c r="J212" s="439">
        <f>Tabla1[[#This Row],[P Piso]]-(Tabla1[[#This Row],[P Piso]]*25%)</f>
        <v>714.69119999999998</v>
      </c>
      <c r="K212" s="440">
        <f>IF((1-(Tabla1[[#This Row],[P Piso-25%]]/Tabla1[[#This Row],[P Oferta]]))=1,0,1-(Tabla1[[#This Row],[P Piso-25%]]/Tabla1[[#This Row],[P Oferta]]))</f>
        <v>0.96042838990742418</v>
      </c>
      <c r="L212" s="379"/>
      <c r="M212" s="469">
        <v>208</v>
      </c>
      <c r="N212" s="473"/>
      <c r="O212" s="473"/>
      <c r="P212" s="474"/>
      <c r="Q212" s="381"/>
      <c r="R212" s="380"/>
      <c r="S212" s="381"/>
      <c r="T212" s="106"/>
      <c r="W212" s="377">
        <v>0</v>
      </c>
    </row>
    <row r="213" spans="1:23" ht="13.5" customHeight="1">
      <c r="A213" s="477">
        <v>196</v>
      </c>
      <c r="B213" s="478" t="s">
        <v>215</v>
      </c>
      <c r="C213" s="378" t="s">
        <v>365</v>
      </c>
      <c r="D213" s="387">
        <f>VLOOKUP(A213,'Evento Cotiz'!$W$49:$Y$455,3,FALSE)</f>
        <v>0</v>
      </c>
      <c r="E213" s="422">
        <f>VLOOKUP(A213,'Evento Cotiz'!$A$49:$T$459,12,FALSE)</f>
        <v>13103.764800000001</v>
      </c>
      <c r="F213" s="427">
        <f>VLOOKUP(A213,'Evento Cotiz'!$A$49:$T$459,13,FALSE)</f>
        <v>3504.6095999999998</v>
      </c>
      <c r="G213" s="428">
        <f>Tabla1[[#This Row],[Cantidad]]*Tabla1[[#This Row],[P Piso]]</f>
        <v>0</v>
      </c>
      <c r="H213" s="433">
        <f>Tabla1[[#This Row],[P Piso]]-(Tabla1[[#This Row],[P Piso]]*20%)</f>
        <v>2803.68768</v>
      </c>
      <c r="I213" s="434">
        <f>IF((1-(Tabla1[[#This Row],[P Piso-20%]]/Tabla1[[#This Row],[P Oferta]]))=1,0,1-(Tabla1[[#This Row],[P Piso-20%]]/Tabla1[[#This Row],[P Oferta]]))</f>
        <v>0.78603952964723545</v>
      </c>
      <c r="J213" s="439">
        <f>Tabla1[[#This Row],[P Piso]]-(Tabla1[[#This Row],[P Piso]]*25%)</f>
        <v>2628.4571999999998</v>
      </c>
      <c r="K213" s="440">
        <f>IF((1-(Tabla1[[#This Row],[P Piso-25%]]/Tabla1[[#This Row],[P Oferta]]))=1,0,1-(Tabla1[[#This Row],[P Piso-25%]]/Tabla1[[#This Row],[P Oferta]]))</f>
        <v>0.79941205904428325</v>
      </c>
      <c r="L213" s="379"/>
      <c r="M213" s="469">
        <v>209</v>
      </c>
      <c r="N213" s="473"/>
      <c r="O213" s="473"/>
      <c r="P213" s="474"/>
      <c r="Q213" s="381"/>
      <c r="R213" s="380"/>
      <c r="S213" s="381"/>
      <c r="T213" s="106"/>
      <c r="W213" s="377">
        <v>0</v>
      </c>
    </row>
    <row r="214" spans="1:23" ht="13.5" customHeight="1">
      <c r="A214" s="477">
        <v>199</v>
      </c>
      <c r="B214" s="478" t="s">
        <v>218</v>
      </c>
      <c r="C214" s="378" t="s">
        <v>365</v>
      </c>
      <c r="D214" s="387">
        <f>VLOOKUP(A214,'Evento Cotiz'!$W$49:$Y$455,3,FALSE)</f>
        <v>0</v>
      </c>
      <c r="E214" s="422">
        <f>VLOOKUP(A214,'Evento Cotiz'!$A$49:$T$459,12,FALSE)</f>
        <v>56616.875200000002</v>
      </c>
      <c r="F214" s="427">
        <f>VLOOKUP(A214,'Evento Cotiz'!$A$49:$T$459,13,FALSE)</f>
        <v>18694.529600000002</v>
      </c>
      <c r="G214" s="428">
        <f>Tabla1[[#This Row],[Cantidad]]*Tabla1[[#This Row],[P Piso]]</f>
        <v>0</v>
      </c>
      <c r="H214" s="433">
        <f>Tabla1[[#This Row],[P Piso]]-(Tabla1[[#This Row],[P Piso]]*20%)</f>
        <v>14955.623680000001</v>
      </c>
      <c r="I214" s="434">
        <f>IF((1-(Tabla1[[#This Row],[P Piso-20%]]/Tabla1[[#This Row],[P Oferta]]))=1,0,1-(Tabla1[[#This Row],[P Piso-20%]]/Tabla1[[#This Row],[P Oferta]]))</f>
        <v>0.73584512343415232</v>
      </c>
      <c r="J214" s="439">
        <f>Tabla1[[#This Row],[P Piso]]-(Tabla1[[#This Row],[P Piso]]*25%)</f>
        <v>14020.897200000001</v>
      </c>
      <c r="K214" s="440">
        <f>IF((1-(Tabla1[[#This Row],[P Piso-25%]]/Tabla1[[#This Row],[P Oferta]]))=1,0,1-(Tabla1[[#This Row],[P Piso-25%]]/Tabla1[[#This Row],[P Oferta]]))</f>
        <v>0.75235480321951786</v>
      </c>
      <c r="L214" s="379"/>
      <c r="M214" s="469">
        <v>210</v>
      </c>
      <c r="N214" s="473"/>
      <c r="O214" s="473"/>
      <c r="P214" s="474"/>
      <c r="Q214" s="381"/>
      <c r="R214" s="380"/>
      <c r="S214" s="381"/>
      <c r="T214" s="106"/>
      <c r="W214" s="377">
        <v>0</v>
      </c>
    </row>
    <row r="215" spans="1:23" ht="13.5" customHeight="1">
      <c r="A215" s="477">
        <v>200</v>
      </c>
      <c r="B215" s="478" t="s">
        <v>219</v>
      </c>
      <c r="C215" s="378" t="s">
        <v>365</v>
      </c>
      <c r="D215" s="387">
        <f>VLOOKUP(A215,'Evento Cotiz'!$W$49:$Y$455,3,FALSE)</f>
        <v>0</v>
      </c>
      <c r="E215" s="422">
        <f>VLOOKUP(A215,'Evento Cotiz'!$A$49:$T$459,12,FALSE)</f>
        <v>50189.025600000001</v>
      </c>
      <c r="F215" s="427">
        <f>VLOOKUP(A215,'Evento Cotiz'!$A$49:$T$459,13,FALSE)</f>
        <v>20118.448</v>
      </c>
      <c r="G215" s="428">
        <f>Tabla1[[#This Row],[Cantidad]]*Tabla1[[#This Row],[P Piso]]</f>
        <v>0</v>
      </c>
      <c r="H215" s="433">
        <f>Tabla1[[#This Row],[P Piso]]-(Tabla1[[#This Row],[P Piso]]*20%)</f>
        <v>16094.758400000001</v>
      </c>
      <c r="I215" s="434">
        <f>IF((1-(Tabla1[[#This Row],[P Piso-20%]]/Tabla1[[#This Row],[P Oferta]]))=1,0,1-(Tabla1[[#This Row],[P Piso-20%]]/Tabla1[[#This Row],[P Oferta]]))</f>
        <v>0.67931717725956409</v>
      </c>
      <c r="J215" s="439">
        <f>Tabla1[[#This Row],[P Piso]]-(Tabla1[[#This Row],[P Piso]]*25%)</f>
        <v>15088.835999999999</v>
      </c>
      <c r="K215" s="440">
        <f>IF((1-(Tabla1[[#This Row],[P Piso-25%]]/Tabla1[[#This Row],[P Oferta]]))=1,0,1-(Tabla1[[#This Row],[P Piso-25%]]/Tabla1[[#This Row],[P Oferta]]))</f>
        <v>0.69935985368084141</v>
      </c>
      <c r="L215" s="379"/>
      <c r="M215" s="469">
        <v>211</v>
      </c>
      <c r="N215" s="473"/>
      <c r="O215" s="473"/>
      <c r="P215" s="474"/>
      <c r="Q215" s="381"/>
      <c r="R215" s="380"/>
      <c r="S215" s="381"/>
      <c r="T215" s="106"/>
      <c r="W215" s="377">
        <v>0</v>
      </c>
    </row>
    <row r="216" spans="1:23" ht="13.5" customHeight="1">
      <c r="A216" s="477">
        <v>202</v>
      </c>
      <c r="B216" s="478" t="s">
        <v>221</v>
      </c>
      <c r="C216" s="378" t="s">
        <v>365</v>
      </c>
      <c r="D216" s="387">
        <f>VLOOKUP(A216,'Evento Cotiz'!$W$49:$Y$455,3,FALSE)</f>
        <v>0</v>
      </c>
      <c r="E216" s="422">
        <f>VLOOKUP(A216,'Evento Cotiz'!$A$49:$T$459,12,FALSE)</f>
        <v>15675.1232</v>
      </c>
      <c r="F216" s="427">
        <f>VLOOKUP(A216,'Evento Cotiz'!$A$49:$T$459,13,FALSE)</f>
        <v>4625.8224</v>
      </c>
      <c r="G216" s="428">
        <f>Tabla1[[#This Row],[Cantidad]]*Tabla1[[#This Row],[P Piso]]</f>
        <v>0</v>
      </c>
      <c r="H216" s="433">
        <f>Tabla1[[#This Row],[P Piso]]-(Tabla1[[#This Row],[P Piso]]*20%)</f>
        <v>3700.6579200000001</v>
      </c>
      <c r="I216" s="434">
        <f>IF((1-(Tabla1[[#This Row],[P Piso-20%]]/Tabla1[[#This Row],[P Oferta]]))=1,0,1-(Tabla1[[#This Row],[P Piso-20%]]/Tabla1[[#This Row],[P Oferta]]))</f>
        <v>0.76391522587841609</v>
      </c>
      <c r="J216" s="439">
        <f>Tabla1[[#This Row],[P Piso]]-(Tabla1[[#This Row],[P Piso]]*25%)</f>
        <v>3469.3667999999998</v>
      </c>
      <c r="K216" s="440">
        <f>IF((1-(Tabla1[[#This Row],[P Piso-25%]]/Tabla1[[#This Row],[P Oferta]]))=1,0,1-(Tabla1[[#This Row],[P Piso-25%]]/Tabla1[[#This Row],[P Oferta]]))</f>
        <v>0.77867052426101502</v>
      </c>
      <c r="L216" s="379"/>
      <c r="M216" s="469">
        <v>212</v>
      </c>
      <c r="N216" s="473"/>
      <c r="O216" s="473"/>
      <c r="P216" s="474"/>
      <c r="Q216" s="381"/>
      <c r="R216" s="380"/>
      <c r="S216" s="381"/>
      <c r="T216" s="106"/>
      <c r="W216" s="377">
        <v>0</v>
      </c>
    </row>
    <row r="217" spans="1:23" ht="13.5" customHeight="1">
      <c r="A217" s="477">
        <v>206</v>
      </c>
      <c r="B217" s="478" t="s">
        <v>225</v>
      </c>
      <c r="C217" s="378" t="s">
        <v>365</v>
      </c>
      <c r="D217" s="387">
        <f>VLOOKUP(A217,'Evento Cotiz'!$W$49:$Y$455,3,FALSE)</f>
        <v>0</v>
      </c>
      <c r="E217" s="422">
        <f>VLOOKUP(A217,'Evento Cotiz'!$A$49:$T$459,12,FALSE)</f>
        <v>72563.012799999997</v>
      </c>
      <c r="F217" s="427">
        <f>VLOOKUP(A217,'Evento Cotiz'!$A$49:$T$459,13,FALSE)</f>
        <v>2807.4031999999997</v>
      </c>
      <c r="G217" s="428">
        <f>Tabla1[[#This Row],[Cantidad]]*Tabla1[[#This Row],[P Piso]]</f>
        <v>0</v>
      </c>
      <c r="H217" s="433">
        <f>Tabla1[[#This Row],[P Piso]]-(Tabla1[[#This Row],[P Piso]]*20%)</f>
        <v>2245.92256</v>
      </c>
      <c r="I217" s="434">
        <f>IF((1-(Tabla1[[#This Row],[P Piso-20%]]/Tabla1[[#This Row],[P Oferta]]))=1,0,1-(Tabla1[[#This Row],[P Piso-20%]]/Tabla1[[#This Row],[P Oferta]]))</f>
        <v>0.96904865890573932</v>
      </c>
      <c r="J217" s="439">
        <f>Tabla1[[#This Row],[P Piso]]-(Tabla1[[#This Row],[P Piso]]*25%)</f>
        <v>2105.5523999999996</v>
      </c>
      <c r="K217" s="440">
        <f>IF((1-(Tabla1[[#This Row],[P Piso-25%]]/Tabla1[[#This Row],[P Oferta]]))=1,0,1-(Tabla1[[#This Row],[P Piso-25%]]/Tabla1[[#This Row],[P Oferta]]))</f>
        <v>0.97098311772413071</v>
      </c>
      <c r="L217" s="379"/>
      <c r="M217" s="469">
        <v>213</v>
      </c>
      <c r="N217" s="473"/>
      <c r="O217" s="473"/>
      <c r="P217" s="474"/>
      <c r="Q217" s="381"/>
      <c r="R217" s="380"/>
      <c r="S217" s="381"/>
      <c r="T217" s="106"/>
      <c r="W217" s="377">
        <v>0</v>
      </c>
    </row>
    <row r="218" spans="1:23" ht="13.5" customHeight="1">
      <c r="A218" s="477">
        <v>208</v>
      </c>
      <c r="B218" s="478" t="s">
        <v>227</v>
      </c>
      <c r="C218" s="378" t="s">
        <v>366</v>
      </c>
      <c r="D218" s="387">
        <f>VLOOKUP(A218,'Evento Cotiz'!$W$49:$Y$455,3,FALSE)</f>
        <v>0</v>
      </c>
      <c r="E218" s="422">
        <f>VLOOKUP(A218,'Evento Cotiz'!$A$49:$T$459,12,FALSE)</f>
        <v>10532.4064</v>
      </c>
      <c r="F218" s="427">
        <f>VLOOKUP(A218,'Evento Cotiz'!$A$49:$T$459,13,FALSE)</f>
        <v>2535.2959999999998</v>
      </c>
      <c r="G218" s="428">
        <f>Tabla1[[#This Row],[Cantidad]]*Tabla1[[#This Row],[P Piso]]</f>
        <v>0</v>
      </c>
      <c r="H218" s="433">
        <f>Tabla1[[#This Row],[P Piso]]-(Tabla1[[#This Row],[P Piso]]*20%)</f>
        <v>2028.2367999999999</v>
      </c>
      <c r="I218" s="434">
        <f>IF((1-(Tabla1[[#This Row],[P Piso-20%]]/Tabla1[[#This Row],[P Oferta]]))=1,0,1-(Tabla1[[#This Row],[P Piso-20%]]/Tabla1[[#This Row],[P Oferta]]))</f>
        <v>0.80742892716331194</v>
      </c>
      <c r="J218" s="439">
        <f>Tabla1[[#This Row],[P Piso]]-(Tabla1[[#This Row],[P Piso]]*25%)</f>
        <v>1901.4719999999998</v>
      </c>
      <c r="K218" s="440">
        <f>IF((1-(Tabla1[[#This Row],[P Piso-25%]]/Tabla1[[#This Row],[P Oferta]]))=1,0,1-(Tabla1[[#This Row],[P Piso-25%]]/Tabla1[[#This Row],[P Oferta]]))</f>
        <v>0.81946461921560498</v>
      </c>
      <c r="L218" s="379"/>
      <c r="M218" s="469">
        <v>214</v>
      </c>
      <c r="N218" s="473"/>
      <c r="O218" s="473"/>
      <c r="P218" s="474"/>
      <c r="Q218" s="381"/>
      <c r="R218" s="380"/>
      <c r="S218" s="381"/>
      <c r="T218" s="106"/>
      <c r="W218" s="377">
        <v>0</v>
      </c>
    </row>
    <row r="219" spans="1:23" ht="13.5" customHeight="1">
      <c r="A219" s="477">
        <v>209</v>
      </c>
      <c r="B219" s="478" t="s">
        <v>227</v>
      </c>
      <c r="C219" s="378" t="s">
        <v>365</v>
      </c>
      <c r="D219" s="387">
        <f>VLOOKUP(A219,'Evento Cotiz'!$W$49:$Y$455,3,FALSE)</f>
        <v>0</v>
      </c>
      <c r="E219" s="422">
        <f>VLOOKUP(A219,'Evento Cotiz'!$A$49:$T$459,12,FALSE)</f>
        <v>54478.265599999999</v>
      </c>
      <c r="F219" s="427">
        <f>VLOOKUP(A219,'Evento Cotiz'!$A$49:$T$459,13,FALSE)</f>
        <v>16743.881600000001</v>
      </c>
      <c r="G219" s="428">
        <f>Tabla1[[#This Row],[Cantidad]]*Tabla1[[#This Row],[P Piso]]</f>
        <v>0</v>
      </c>
      <c r="H219" s="433">
        <f>Tabla1[[#This Row],[P Piso]]-(Tabla1[[#This Row],[P Piso]]*20%)</f>
        <v>13395.10528</v>
      </c>
      <c r="I219" s="434">
        <f>IF((1-(Tabla1[[#This Row],[P Piso-20%]]/Tabla1[[#This Row],[P Oferta]]))=1,0,1-(Tabla1[[#This Row],[P Piso-20%]]/Tabla1[[#This Row],[P Oferta]]))</f>
        <v>0.7541201957795074</v>
      </c>
      <c r="J219" s="439">
        <f>Tabla1[[#This Row],[P Piso]]-(Tabla1[[#This Row],[P Piso]]*25%)</f>
        <v>12557.9112</v>
      </c>
      <c r="K219" s="440">
        <f>IF((1-(Tabla1[[#This Row],[P Piso-25%]]/Tabla1[[#This Row],[P Oferta]]))=1,0,1-(Tabla1[[#This Row],[P Piso-25%]]/Tabla1[[#This Row],[P Oferta]]))</f>
        <v>0.76948768354328811</v>
      </c>
      <c r="L219" s="379"/>
      <c r="M219" s="469">
        <v>215</v>
      </c>
      <c r="N219" s="473"/>
      <c r="O219" s="473"/>
      <c r="P219" s="474"/>
      <c r="Q219" s="381"/>
      <c r="R219" s="380"/>
      <c r="S219" s="381"/>
      <c r="T219" s="106"/>
      <c r="W219" s="377">
        <v>0</v>
      </c>
    </row>
    <row r="220" spans="1:23" ht="13.5" customHeight="1">
      <c r="A220" s="477">
        <v>210</v>
      </c>
      <c r="B220" s="478" t="s">
        <v>228</v>
      </c>
      <c r="C220" s="378" t="s">
        <v>366</v>
      </c>
      <c r="D220" s="387">
        <f>VLOOKUP(A220,'Evento Cotiz'!$W$49:$Y$455,3,FALSE)</f>
        <v>0</v>
      </c>
      <c r="E220" s="422">
        <f>VLOOKUP(A220,'Evento Cotiz'!$A$49:$T$459,12,FALSE)</f>
        <v>963.84960000000001</v>
      </c>
      <c r="F220" s="427">
        <f>VLOOKUP(A220,'Evento Cotiz'!$A$49:$T$459,13,FALSE)</f>
        <v>246.97280000000001</v>
      </c>
      <c r="G220" s="428">
        <f>Tabla1[[#This Row],[Cantidad]]*Tabla1[[#This Row],[P Piso]]</f>
        <v>0</v>
      </c>
      <c r="H220" s="433">
        <f>Tabla1[[#This Row],[P Piso]]-(Tabla1[[#This Row],[P Piso]]*20%)</f>
        <v>197.57823999999999</v>
      </c>
      <c r="I220" s="434">
        <f>IF((1-(Tabla1[[#This Row],[P Piso-20%]]/Tabla1[[#This Row],[P Oferta]]))=1,0,1-(Tabla1[[#This Row],[P Piso-20%]]/Tabla1[[#This Row],[P Oferta]]))</f>
        <v>0.79501133786848077</v>
      </c>
      <c r="J220" s="439">
        <f>Tabla1[[#This Row],[P Piso]]-(Tabla1[[#This Row],[P Piso]]*25%)</f>
        <v>185.2296</v>
      </c>
      <c r="K220" s="440">
        <f>IF((1-(Tabla1[[#This Row],[P Piso-25%]]/Tabla1[[#This Row],[P Oferta]]))=1,0,1-(Tabla1[[#This Row],[P Piso-25%]]/Tabla1[[#This Row],[P Oferta]]))</f>
        <v>0.80782312925170063</v>
      </c>
      <c r="L220" s="379"/>
      <c r="M220" s="469">
        <v>216</v>
      </c>
      <c r="N220" s="473"/>
      <c r="O220" s="473"/>
      <c r="P220" s="474"/>
      <c r="Q220" s="381"/>
      <c r="R220" s="380"/>
      <c r="S220" s="381"/>
      <c r="T220" s="106"/>
      <c r="W220" s="377">
        <v>0</v>
      </c>
    </row>
    <row r="221" spans="1:23" ht="13.5" customHeight="1">
      <c r="A221" s="477">
        <v>211</v>
      </c>
      <c r="B221" s="478" t="s">
        <v>228</v>
      </c>
      <c r="C221" s="378" t="s">
        <v>365</v>
      </c>
      <c r="D221" s="387">
        <f>VLOOKUP(A221,'Evento Cotiz'!$W$49:$Y$455,3,FALSE)</f>
        <v>0</v>
      </c>
      <c r="E221" s="422">
        <f>VLOOKUP(A221,'Evento Cotiz'!$A$49:$T$459,12,FALSE)</f>
        <v>3028.1487999999999</v>
      </c>
      <c r="F221" s="427">
        <f>VLOOKUP(A221,'Evento Cotiz'!$A$49:$T$459,13,FALSE)</f>
        <v>1682.912</v>
      </c>
      <c r="G221" s="428">
        <f>Tabla1[[#This Row],[Cantidad]]*Tabla1[[#This Row],[P Piso]]</f>
        <v>0</v>
      </c>
      <c r="H221" s="433">
        <f>Tabla1[[#This Row],[P Piso]]-(Tabla1[[#This Row],[P Piso]]*20%)</f>
        <v>1346.3296</v>
      </c>
      <c r="I221" s="434">
        <f>IF((1-(Tabla1[[#This Row],[P Piso-20%]]/Tabla1[[#This Row],[P Oferta]]))=1,0,1-(Tabla1[[#This Row],[P Piso-20%]]/Tabla1[[#This Row],[P Oferta]]))</f>
        <v>0.5553951642006496</v>
      </c>
      <c r="J221" s="439">
        <f>Tabla1[[#This Row],[P Piso]]-(Tabla1[[#This Row],[P Piso]]*25%)</f>
        <v>1262.184</v>
      </c>
      <c r="K221" s="440">
        <f>IF((1-(Tabla1[[#This Row],[P Piso-25%]]/Tabla1[[#This Row],[P Oferta]]))=1,0,1-(Tabla1[[#This Row],[P Piso-25%]]/Tabla1[[#This Row],[P Oferta]]))</f>
        <v>0.58318296643810896</v>
      </c>
      <c r="L221" s="379"/>
      <c r="M221" s="469">
        <v>217</v>
      </c>
      <c r="N221" s="473"/>
      <c r="O221" s="473"/>
      <c r="P221" s="474"/>
      <c r="Q221" s="381"/>
      <c r="R221" s="380"/>
      <c r="S221" s="381"/>
      <c r="T221" s="106"/>
      <c r="W221" s="377">
        <v>0</v>
      </c>
    </row>
    <row r="222" spans="1:23" ht="13.5" customHeight="1">
      <c r="A222" s="477">
        <v>212</v>
      </c>
      <c r="B222" s="478" t="s">
        <v>229</v>
      </c>
      <c r="C222" s="378" t="s">
        <v>366</v>
      </c>
      <c r="D222" s="387">
        <f>VLOOKUP(A222,'Evento Cotiz'!$W$49:$Y$455,3,FALSE)</f>
        <v>0</v>
      </c>
      <c r="E222" s="422">
        <f>VLOOKUP(A222,'Evento Cotiz'!$A$49:$T$459,12,FALSE)</f>
        <v>1335.4015999999999</v>
      </c>
      <c r="F222" s="427">
        <f>VLOOKUP(A222,'Evento Cotiz'!$A$49:$T$459,13,FALSE)</f>
        <v>246.97280000000001</v>
      </c>
      <c r="G222" s="428">
        <f>Tabla1[[#This Row],[Cantidad]]*Tabla1[[#This Row],[P Piso]]</f>
        <v>0</v>
      </c>
      <c r="H222" s="433">
        <f>Tabla1[[#This Row],[P Piso]]-(Tabla1[[#This Row],[P Piso]]*20%)</f>
        <v>197.57823999999999</v>
      </c>
      <c r="I222" s="434">
        <f>IF((1-(Tabla1[[#This Row],[P Piso-20%]]/Tabla1[[#This Row],[P Oferta]]))=1,0,1-(Tabla1[[#This Row],[P Piso-20%]]/Tabla1[[#This Row],[P Oferta]]))</f>
        <v>0.85204582651391159</v>
      </c>
      <c r="J222" s="439">
        <f>Tabla1[[#This Row],[P Piso]]-(Tabla1[[#This Row],[P Piso]]*25%)</f>
        <v>185.2296</v>
      </c>
      <c r="K222" s="440">
        <f>IF((1-(Tabla1[[#This Row],[P Piso-25%]]/Tabla1[[#This Row],[P Oferta]]))=1,0,1-(Tabla1[[#This Row],[P Piso-25%]]/Tabla1[[#This Row],[P Oferta]]))</f>
        <v>0.86129296235679209</v>
      </c>
      <c r="L222" s="379"/>
      <c r="M222" s="469">
        <v>218</v>
      </c>
      <c r="N222" s="473"/>
      <c r="O222" s="473"/>
      <c r="P222" s="474"/>
      <c r="Q222" s="381"/>
      <c r="R222" s="380"/>
      <c r="S222" s="381"/>
      <c r="T222" s="106"/>
      <c r="W222" s="377">
        <v>0</v>
      </c>
    </row>
    <row r="223" spans="1:23" ht="13.5" customHeight="1">
      <c r="A223" s="477">
        <v>213</v>
      </c>
      <c r="B223" s="478" t="s">
        <v>229</v>
      </c>
      <c r="C223" s="378" t="s">
        <v>365</v>
      </c>
      <c r="D223" s="387">
        <f>VLOOKUP(A223,'Evento Cotiz'!$W$49:$Y$455,3,FALSE)</f>
        <v>0</v>
      </c>
      <c r="E223" s="422">
        <f>VLOOKUP(A223,'Evento Cotiz'!$A$49:$T$459,12,FALSE)</f>
        <v>5649.7759999999998</v>
      </c>
      <c r="F223" s="427">
        <f>VLOOKUP(A223,'Evento Cotiz'!$A$49:$T$459,13,FALSE)</f>
        <v>2524.3679999999999</v>
      </c>
      <c r="G223" s="428">
        <f>Tabla1[[#This Row],[Cantidad]]*Tabla1[[#This Row],[P Piso]]</f>
        <v>0</v>
      </c>
      <c r="H223" s="433">
        <f>Tabla1[[#This Row],[P Piso]]-(Tabla1[[#This Row],[P Piso]]*20%)</f>
        <v>2019.4944</v>
      </c>
      <c r="I223" s="434">
        <f>IF((1-(Tabla1[[#This Row],[P Piso-20%]]/Tabla1[[#This Row],[P Oferta]]))=1,0,1-(Tabla1[[#This Row],[P Piso-20%]]/Tabla1[[#This Row],[P Oferta]]))</f>
        <v>0.64255319148936163</v>
      </c>
      <c r="J223" s="439">
        <f>Tabla1[[#This Row],[P Piso]]-(Tabla1[[#This Row],[P Piso]]*25%)</f>
        <v>1893.2759999999998</v>
      </c>
      <c r="K223" s="440">
        <f>IF((1-(Tabla1[[#This Row],[P Piso-25%]]/Tabla1[[#This Row],[P Oferta]]))=1,0,1-(Tabla1[[#This Row],[P Piso-25%]]/Tabla1[[#This Row],[P Oferta]]))</f>
        <v>0.66489361702127669</v>
      </c>
      <c r="L223" s="379"/>
      <c r="M223" s="469">
        <v>219</v>
      </c>
      <c r="N223" s="473"/>
      <c r="O223" s="473"/>
      <c r="P223" s="474"/>
      <c r="Q223" s="381"/>
      <c r="R223" s="380"/>
      <c r="S223" s="381"/>
      <c r="T223" s="106"/>
      <c r="W223" s="377">
        <v>0</v>
      </c>
    </row>
    <row r="224" spans="1:23" ht="13.5" customHeight="1">
      <c r="A224" s="477">
        <v>214</v>
      </c>
      <c r="B224" s="478" t="s">
        <v>230</v>
      </c>
      <c r="C224" s="378" t="s">
        <v>365</v>
      </c>
      <c r="D224" s="387">
        <f>VLOOKUP(A224,'Evento Cotiz'!$W$49:$Y$455,3,FALSE)</f>
        <v>0</v>
      </c>
      <c r="E224" s="422">
        <f>VLOOKUP(A224,'Evento Cotiz'!$A$49:$T$459,12,FALSE)</f>
        <v>4771.1647999999996</v>
      </c>
      <c r="F224" s="427">
        <f>VLOOKUP(A224,'Evento Cotiz'!$A$49:$T$459,13,FALSE)</f>
        <v>2465.3568</v>
      </c>
      <c r="G224" s="428">
        <f>Tabla1[[#This Row],[Cantidad]]*Tabla1[[#This Row],[P Piso]]</f>
        <v>0</v>
      </c>
      <c r="H224" s="433">
        <f>Tabla1[[#This Row],[P Piso]]-(Tabla1[[#This Row],[P Piso]]*20%)</f>
        <v>1972.2854400000001</v>
      </c>
      <c r="I224" s="434">
        <f>IF((1-(Tabla1[[#This Row],[P Piso-20%]]/Tabla1[[#This Row],[P Oferta]]))=1,0,1-(Tabla1[[#This Row],[P Piso-20%]]/Tabla1[[#This Row],[P Oferta]]))</f>
        <v>0.58662391204764086</v>
      </c>
      <c r="J224" s="439">
        <f>Tabla1[[#This Row],[P Piso]]-(Tabla1[[#This Row],[P Piso]]*25%)</f>
        <v>1849.0176000000001</v>
      </c>
      <c r="K224" s="440">
        <f>IF((1-(Tabla1[[#This Row],[P Piso-25%]]/Tabla1[[#This Row],[P Oferta]]))=1,0,1-(Tabla1[[#This Row],[P Piso-25%]]/Tabla1[[#This Row],[P Oferta]]))</f>
        <v>0.61245991754466322</v>
      </c>
      <c r="L224" s="379"/>
      <c r="M224" s="469">
        <v>220</v>
      </c>
      <c r="N224" s="473"/>
      <c r="O224" s="473"/>
      <c r="P224" s="474"/>
      <c r="Q224" s="381"/>
      <c r="R224" s="380"/>
      <c r="S224" s="381"/>
      <c r="T224" s="106"/>
      <c r="W224" s="377">
        <v>0</v>
      </c>
    </row>
    <row r="225" spans="1:23" ht="13.5" customHeight="1">
      <c r="A225" s="477">
        <v>215</v>
      </c>
      <c r="B225" s="478" t="s">
        <v>231</v>
      </c>
      <c r="C225" s="378" t="s">
        <v>365</v>
      </c>
      <c r="D225" s="387">
        <f>VLOOKUP(A225,'Evento Cotiz'!$W$49:$Y$455,3,FALSE)</f>
        <v>0</v>
      </c>
      <c r="E225" s="422">
        <f>VLOOKUP(A225,'Evento Cotiz'!$A$49:$T$459,12,FALSE)</f>
        <v>5401.7103999999999</v>
      </c>
      <c r="F225" s="427">
        <f>VLOOKUP(A225,'Evento Cotiz'!$A$49:$T$459,13,FALSE)</f>
        <v>2465.3568</v>
      </c>
      <c r="G225" s="428">
        <f>Tabla1[[#This Row],[Cantidad]]*Tabla1[[#This Row],[P Piso]]</f>
        <v>0</v>
      </c>
      <c r="H225" s="433">
        <f>Tabla1[[#This Row],[P Piso]]-(Tabla1[[#This Row],[P Piso]]*20%)</f>
        <v>1972.2854400000001</v>
      </c>
      <c r="I225" s="434">
        <f>IF((1-(Tabla1[[#This Row],[P Piso-20%]]/Tabla1[[#This Row],[P Oferta]]))=1,0,1-(Tabla1[[#This Row],[P Piso-20%]]/Tabla1[[#This Row],[P Oferta]]))</f>
        <v>0.63487760469350596</v>
      </c>
      <c r="J225" s="439">
        <f>Tabla1[[#This Row],[P Piso]]-(Tabla1[[#This Row],[P Piso]]*25%)</f>
        <v>1849.0176000000001</v>
      </c>
      <c r="K225" s="440">
        <f>IF((1-(Tabla1[[#This Row],[P Piso-25%]]/Tabla1[[#This Row],[P Oferta]]))=1,0,1-(Tabla1[[#This Row],[P Piso-25%]]/Tabla1[[#This Row],[P Oferta]]))</f>
        <v>0.65769775440016187</v>
      </c>
      <c r="L225" s="379"/>
      <c r="M225" s="469">
        <v>221</v>
      </c>
      <c r="N225" s="473"/>
      <c r="O225" s="473"/>
      <c r="P225" s="474"/>
      <c r="Q225" s="381"/>
      <c r="R225" s="380"/>
      <c r="S225" s="381"/>
      <c r="T225" s="106"/>
      <c r="W225" s="377">
        <v>0</v>
      </c>
    </row>
    <row r="226" spans="1:23" ht="13.5" customHeight="1">
      <c r="A226" s="477">
        <v>216</v>
      </c>
      <c r="B226" s="478" t="s">
        <v>232</v>
      </c>
      <c r="C226" s="378" t="s">
        <v>365</v>
      </c>
      <c r="D226" s="387">
        <f>VLOOKUP(A226,'Evento Cotiz'!$W$49:$Y$455,3,FALSE)</f>
        <v>0</v>
      </c>
      <c r="E226" s="422">
        <f>VLOOKUP(A226,'Evento Cotiz'!$A$49:$T$459,12,FALSE)</f>
        <v>7800.4063999999998</v>
      </c>
      <c r="F226" s="427">
        <f>VLOOKUP(A226,'Evento Cotiz'!$A$49:$T$459,13,FALSE)</f>
        <v>1262.184</v>
      </c>
      <c r="G226" s="428">
        <f>Tabla1[[#This Row],[Cantidad]]*Tabla1[[#This Row],[P Piso]]</f>
        <v>0</v>
      </c>
      <c r="H226" s="433">
        <f>Tabla1[[#This Row],[P Piso]]-(Tabla1[[#This Row],[P Piso]]*20%)</f>
        <v>1009.7472</v>
      </c>
      <c r="I226" s="434">
        <f>IF((1-(Tabla1[[#This Row],[P Piso-20%]]/Tabla1[[#This Row],[P Oferta]]))=1,0,1-(Tabla1[[#This Row],[P Piso-20%]]/Tabla1[[#This Row],[P Oferta]]))</f>
        <v>0.87055197534323336</v>
      </c>
      <c r="J226" s="439">
        <f>Tabla1[[#This Row],[P Piso]]-(Tabla1[[#This Row],[P Piso]]*25%)</f>
        <v>946.63799999999992</v>
      </c>
      <c r="K226" s="440">
        <f>IF((1-(Tabla1[[#This Row],[P Piso-25%]]/Tabla1[[#This Row],[P Oferta]]))=1,0,1-(Tabla1[[#This Row],[P Piso-25%]]/Tabla1[[#This Row],[P Oferta]]))</f>
        <v>0.87864247688428132</v>
      </c>
      <c r="L226" s="379"/>
      <c r="M226" s="469">
        <v>222</v>
      </c>
      <c r="N226" s="473"/>
      <c r="O226" s="473"/>
      <c r="P226" s="474"/>
      <c r="Q226" s="381"/>
      <c r="R226" s="380"/>
      <c r="S226" s="381"/>
      <c r="T226" s="106"/>
      <c r="W226" s="377">
        <v>0</v>
      </c>
    </row>
    <row r="227" spans="1:23" ht="13.5" customHeight="1">
      <c r="A227" s="477">
        <v>217</v>
      </c>
      <c r="B227" s="478" t="s">
        <v>233</v>
      </c>
      <c r="C227" s="378" t="s">
        <v>365</v>
      </c>
      <c r="D227" s="387">
        <f>VLOOKUP(A227,'Evento Cotiz'!$W$49:$Y$455,3,FALSE)</f>
        <v>0</v>
      </c>
      <c r="E227" s="422">
        <f>VLOOKUP(A227,'Evento Cotiz'!$A$49:$T$459,12,FALSE)</f>
        <v>4437.8608000000004</v>
      </c>
      <c r="F227" s="427">
        <f>VLOOKUP(A227,'Evento Cotiz'!$A$49:$T$459,13,FALSE)</f>
        <v>1545.2192</v>
      </c>
      <c r="G227" s="428">
        <f>Tabla1[[#This Row],[Cantidad]]*Tabla1[[#This Row],[P Piso]]</f>
        <v>0</v>
      </c>
      <c r="H227" s="433">
        <f>Tabla1[[#This Row],[P Piso]]-(Tabla1[[#This Row],[P Piso]]*20%)</f>
        <v>1236.17536</v>
      </c>
      <c r="I227" s="434">
        <f>IF((1-(Tabla1[[#This Row],[P Piso-20%]]/Tabla1[[#This Row],[P Oferta]]))=1,0,1-(Tabla1[[#This Row],[P Piso-20%]]/Tabla1[[#This Row],[P Oferta]]))</f>
        <v>0.72144791923171636</v>
      </c>
      <c r="J227" s="439">
        <f>Tabla1[[#This Row],[P Piso]]-(Tabla1[[#This Row],[P Piso]]*25%)</f>
        <v>1158.9144000000001</v>
      </c>
      <c r="K227" s="440">
        <f>IF((1-(Tabla1[[#This Row],[P Piso-25%]]/Tabla1[[#This Row],[P Oferta]]))=1,0,1-(Tabla1[[#This Row],[P Piso-25%]]/Tabla1[[#This Row],[P Oferta]]))</f>
        <v>0.73885742427973411</v>
      </c>
      <c r="L227" s="379"/>
      <c r="M227" s="469">
        <v>223</v>
      </c>
      <c r="N227" s="473"/>
      <c r="O227" s="473"/>
      <c r="P227" s="474"/>
      <c r="Q227" s="381"/>
      <c r="R227" s="380"/>
      <c r="S227" s="381"/>
      <c r="T227" s="106"/>
      <c r="W227" s="377">
        <v>0</v>
      </c>
    </row>
    <row r="228" spans="1:23" ht="13.5" customHeight="1">
      <c r="A228" s="477">
        <v>218</v>
      </c>
      <c r="B228" s="478" t="s">
        <v>234</v>
      </c>
      <c r="C228" s="378" t="s">
        <v>366</v>
      </c>
      <c r="D228" s="387">
        <f>VLOOKUP(A228,'Evento Cotiz'!$W$49:$Y$455,3,FALSE)</f>
        <v>0</v>
      </c>
      <c r="E228" s="422">
        <f>VLOOKUP(A228,'Evento Cotiz'!$A$49:$T$459,12,FALSE)</f>
        <v>4833.4543999999996</v>
      </c>
      <c r="F228" s="427">
        <f>VLOOKUP(A228,'Evento Cotiz'!$A$49:$T$459,13,FALSE)</f>
        <v>742.01120000000003</v>
      </c>
      <c r="G228" s="428">
        <f>Tabla1[[#This Row],[Cantidad]]*Tabla1[[#This Row],[P Piso]]</f>
        <v>0</v>
      </c>
      <c r="H228" s="433">
        <f>Tabla1[[#This Row],[P Piso]]-(Tabla1[[#This Row],[P Piso]]*20%)</f>
        <v>593.60896000000002</v>
      </c>
      <c r="I228" s="434">
        <f>IF((1-(Tabla1[[#This Row],[P Piso-20%]]/Tabla1[[#This Row],[P Oferta]]))=1,0,1-(Tabla1[[#This Row],[P Piso-20%]]/Tabla1[[#This Row],[P Oferta]]))</f>
        <v>0.87718742934659732</v>
      </c>
      <c r="J228" s="439">
        <f>Tabla1[[#This Row],[P Piso]]-(Tabla1[[#This Row],[P Piso]]*25%)</f>
        <v>556.50840000000005</v>
      </c>
      <c r="K228" s="440">
        <f>IF((1-(Tabla1[[#This Row],[P Piso-25%]]/Tabla1[[#This Row],[P Oferta]]))=1,0,1-(Tabla1[[#This Row],[P Piso-25%]]/Tabla1[[#This Row],[P Oferta]]))</f>
        <v>0.88486321501243492</v>
      </c>
      <c r="L228" s="379"/>
      <c r="M228" s="469">
        <v>224</v>
      </c>
      <c r="N228" s="473"/>
      <c r="O228" s="473"/>
      <c r="P228" s="474"/>
      <c r="Q228" s="381"/>
      <c r="R228" s="380"/>
      <c r="S228" s="381"/>
      <c r="T228" s="106"/>
      <c r="W228" s="377">
        <v>0</v>
      </c>
    </row>
    <row r="229" spans="1:23" ht="13.5" customHeight="1">
      <c r="A229" s="477">
        <v>219</v>
      </c>
      <c r="B229" s="478" t="s">
        <v>234</v>
      </c>
      <c r="C229" s="378" t="s">
        <v>365</v>
      </c>
      <c r="D229" s="387">
        <f>VLOOKUP(A229,'Evento Cotiz'!$W$49:$Y$455,3,FALSE)</f>
        <v>0</v>
      </c>
      <c r="E229" s="422">
        <f>VLOOKUP(A229,'Evento Cotiz'!$A$49:$T$459,12,FALSE)</f>
        <v>25107.08</v>
      </c>
      <c r="F229" s="427">
        <f>VLOOKUP(A229,'Evento Cotiz'!$A$49:$T$459,13,FALSE)</f>
        <v>7573.1040000000003</v>
      </c>
      <c r="G229" s="428">
        <f>Tabla1[[#This Row],[Cantidad]]*Tabla1[[#This Row],[P Piso]]</f>
        <v>0</v>
      </c>
      <c r="H229" s="433">
        <f>Tabla1[[#This Row],[P Piso]]-(Tabla1[[#This Row],[P Piso]]*20%)</f>
        <v>6058.4832000000006</v>
      </c>
      <c r="I229" s="434">
        <f>IF((1-(Tabla1[[#This Row],[P Piso-20%]]/Tabla1[[#This Row],[P Oferta]]))=1,0,1-(Tabla1[[#This Row],[P Piso-20%]]/Tabla1[[#This Row],[P Oferta]]))</f>
        <v>0.75869423286180626</v>
      </c>
      <c r="J229" s="439">
        <f>Tabla1[[#This Row],[P Piso]]-(Tabla1[[#This Row],[P Piso]]*25%)</f>
        <v>5679.8280000000004</v>
      </c>
      <c r="K229" s="440">
        <f>IF((1-(Tabla1[[#This Row],[P Piso-25%]]/Tabla1[[#This Row],[P Oferta]]))=1,0,1-(Tabla1[[#This Row],[P Piso-25%]]/Tabla1[[#This Row],[P Oferta]]))</f>
        <v>0.77377584330794336</v>
      </c>
      <c r="L229" s="379"/>
      <c r="M229" s="469">
        <v>225</v>
      </c>
      <c r="N229" s="473"/>
      <c r="O229" s="473"/>
      <c r="P229" s="474"/>
      <c r="Q229" s="381"/>
      <c r="R229" s="380"/>
      <c r="S229" s="381"/>
      <c r="T229" s="106"/>
      <c r="W229" s="377">
        <v>0</v>
      </c>
    </row>
    <row r="230" spans="1:23" ht="13.5" customHeight="1">
      <c r="A230" s="477">
        <v>220</v>
      </c>
      <c r="B230" s="478" t="s">
        <v>235</v>
      </c>
      <c r="C230" s="378" t="s">
        <v>366</v>
      </c>
      <c r="D230" s="387">
        <f>VLOOKUP(A230,'Evento Cotiz'!$W$49:$Y$455,3,FALSE)</f>
        <v>0</v>
      </c>
      <c r="E230" s="422">
        <f>VLOOKUP(A230,'Evento Cotiz'!$A$49:$T$459,12,FALSE)</f>
        <v>3955.9360000000001</v>
      </c>
      <c r="F230" s="427">
        <f>VLOOKUP(A230,'Evento Cotiz'!$A$49:$T$459,13,FALSE)</f>
        <v>632.73119999999994</v>
      </c>
      <c r="G230" s="428">
        <f>Tabla1[[#This Row],[Cantidad]]*Tabla1[[#This Row],[P Piso]]</f>
        <v>0</v>
      </c>
      <c r="H230" s="433">
        <f>Tabla1[[#This Row],[P Piso]]-(Tabla1[[#This Row],[P Piso]]*20%)</f>
        <v>506.18495999999993</v>
      </c>
      <c r="I230" s="434">
        <f>IF((1-(Tabla1[[#This Row],[P Piso-20%]]/Tabla1[[#This Row],[P Oferta]]))=1,0,1-(Tabla1[[#This Row],[P Piso-20%]]/Tabla1[[#This Row],[P Oferta]]))</f>
        <v>0.8720441988950276</v>
      </c>
      <c r="J230" s="439">
        <f>Tabla1[[#This Row],[P Piso]]-(Tabla1[[#This Row],[P Piso]]*25%)</f>
        <v>474.54839999999996</v>
      </c>
      <c r="K230" s="440">
        <f>IF((1-(Tabla1[[#This Row],[P Piso-25%]]/Tabla1[[#This Row],[P Oferta]]))=1,0,1-(Tabla1[[#This Row],[P Piso-25%]]/Tabla1[[#This Row],[P Oferta]]))</f>
        <v>0.88004143646408839</v>
      </c>
      <c r="L230" s="379"/>
      <c r="M230" s="469">
        <v>226</v>
      </c>
      <c r="N230" s="473"/>
      <c r="O230" s="473"/>
      <c r="P230" s="474"/>
      <c r="Q230" s="381"/>
      <c r="R230" s="380"/>
      <c r="S230" s="381"/>
      <c r="T230" s="106"/>
      <c r="W230" s="377">
        <v>0</v>
      </c>
    </row>
    <row r="231" spans="1:23" ht="13.5" customHeight="1">
      <c r="A231" s="477">
        <v>221</v>
      </c>
      <c r="B231" s="478" t="s">
        <v>235</v>
      </c>
      <c r="C231" s="378" t="s">
        <v>365</v>
      </c>
      <c r="D231" s="387">
        <f>VLOOKUP(A231,'Evento Cotiz'!$W$49:$Y$455,3,FALSE)</f>
        <v>0</v>
      </c>
      <c r="E231" s="422">
        <f>VLOOKUP(A231,'Evento Cotiz'!$A$49:$T$459,12,FALSE)</f>
        <v>20904.171200000001</v>
      </c>
      <c r="F231" s="427">
        <f>VLOOKUP(A231,'Evento Cotiz'!$A$49:$T$459,13,FALSE)</f>
        <v>5890.192</v>
      </c>
      <c r="G231" s="428">
        <f>Tabla1[[#This Row],[Cantidad]]*Tabla1[[#This Row],[P Piso]]</f>
        <v>0</v>
      </c>
      <c r="H231" s="433">
        <f>Tabla1[[#This Row],[P Piso]]-(Tabla1[[#This Row],[P Piso]]*20%)</f>
        <v>4712.1535999999996</v>
      </c>
      <c r="I231" s="434">
        <f>IF((1-(Tabla1[[#This Row],[P Piso-20%]]/Tabla1[[#This Row],[P Oferta]]))=1,0,1-(Tabla1[[#This Row],[P Piso-20%]]/Tabla1[[#This Row],[P Oferta]]))</f>
        <v>0.77458309373202994</v>
      </c>
      <c r="J231" s="439">
        <f>Tabla1[[#This Row],[P Piso]]-(Tabla1[[#This Row],[P Piso]]*25%)</f>
        <v>4417.6440000000002</v>
      </c>
      <c r="K231" s="440">
        <f>IF((1-(Tabla1[[#This Row],[P Piso-25%]]/Tabla1[[#This Row],[P Oferta]]))=1,0,1-(Tabla1[[#This Row],[P Piso-25%]]/Tabla1[[#This Row],[P Oferta]]))</f>
        <v>0.78867165037377807</v>
      </c>
      <c r="L231" s="379"/>
      <c r="M231" s="469">
        <v>227</v>
      </c>
      <c r="N231" s="473"/>
      <c r="O231" s="473"/>
      <c r="P231" s="474"/>
      <c r="Q231" s="381"/>
      <c r="R231" s="380"/>
      <c r="S231" s="381"/>
      <c r="T231" s="106"/>
      <c r="W231" s="377">
        <v>0</v>
      </c>
    </row>
    <row r="232" spans="1:23" ht="13.5" customHeight="1">
      <c r="A232" s="477">
        <v>222</v>
      </c>
      <c r="B232" s="478" t="s">
        <v>236</v>
      </c>
      <c r="C232" s="378" t="s">
        <v>366</v>
      </c>
      <c r="D232" s="387">
        <f>VLOOKUP(A232,'Evento Cotiz'!$W$49:$Y$455,3,FALSE)</f>
        <v>0</v>
      </c>
      <c r="E232" s="422">
        <f>VLOOKUP(A232,'Evento Cotiz'!$A$49:$T$459,12,FALSE)</f>
        <v>2904.6624000000002</v>
      </c>
      <c r="F232" s="427">
        <f>VLOOKUP(A232,'Evento Cotiz'!$A$49:$T$459,13,FALSE)</f>
        <v>545.30719999999997</v>
      </c>
      <c r="G232" s="428">
        <f>Tabla1[[#This Row],[Cantidad]]*Tabla1[[#This Row],[P Piso]]</f>
        <v>0</v>
      </c>
      <c r="H232" s="433">
        <f>Tabla1[[#This Row],[P Piso]]-(Tabla1[[#This Row],[P Piso]]*20%)</f>
        <v>436.24575999999996</v>
      </c>
      <c r="I232" s="434">
        <f>IF((1-(Tabla1[[#This Row],[P Piso-20%]]/Tabla1[[#This Row],[P Oferta]]))=1,0,1-(Tabla1[[#This Row],[P Piso-20%]]/Tabla1[[#This Row],[P Oferta]]))</f>
        <v>0.84981188863807378</v>
      </c>
      <c r="J232" s="439">
        <f>Tabla1[[#This Row],[P Piso]]-(Tabla1[[#This Row],[P Piso]]*25%)</f>
        <v>408.98039999999997</v>
      </c>
      <c r="K232" s="440">
        <f>IF((1-(Tabla1[[#This Row],[P Piso-25%]]/Tabla1[[#This Row],[P Oferta]]))=1,0,1-(Tabla1[[#This Row],[P Piso-25%]]/Tabla1[[#This Row],[P Oferta]]))</f>
        <v>0.85919864559819414</v>
      </c>
      <c r="L232" s="379"/>
      <c r="M232" s="469">
        <v>228</v>
      </c>
      <c r="N232" s="473"/>
      <c r="O232" s="473"/>
      <c r="P232" s="474"/>
      <c r="Q232" s="381"/>
      <c r="R232" s="380"/>
      <c r="S232" s="381"/>
      <c r="T232" s="106"/>
      <c r="W232" s="377">
        <v>0</v>
      </c>
    </row>
    <row r="233" spans="1:23" ht="13.5" customHeight="1">
      <c r="A233" s="477">
        <v>223</v>
      </c>
      <c r="B233" s="478" t="s">
        <v>236</v>
      </c>
      <c r="C233" s="378" t="s">
        <v>365</v>
      </c>
      <c r="D233" s="387">
        <f>VLOOKUP(A233,'Evento Cotiz'!$W$49:$Y$455,3,FALSE)</f>
        <v>0</v>
      </c>
      <c r="E233" s="422">
        <f>VLOOKUP(A233,'Evento Cotiz'!$A$49:$T$459,12,FALSE)</f>
        <v>14092.748799999999</v>
      </c>
      <c r="F233" s="427">
        <f>VLOOKUP(A233,'Evento Cotiz'!$A$49:$T$459,13,FALSE)</f>
        <v>5890.192</v>
      </c>
      <c r="G233" s="428">
        <f>Tabla1[[#This Row],[Cantidad]]*Tabla1[[#This Row],[P Piso]]</f>
        <v>0</v>
      </c>
      <c r="H233" s="433">
        <f>Tabla1[[#This Row],[P Piso]]-(Tabla1[[#This Row],[P Piso]]*20%)</f>
        <v>4712.1535999999996</v>
      </c>
      <c r="I233" s="434">
        <f>IF((1-(Tabla1[[#This Row],[P Piso-20%]]/Tabla1[[#This Row],[P Oferta]]))=1,0,1-(Tabla1[[#This Row],[P Piso-20%]]/Tabla1[[#This Row],[P Oferta]]))</f>
        <v>0.66563275434243185</v>
      </c>
      <c r="J233" s="439">
        <f>Tabla1[[#This Row],[P Piso]]-(Tabla1[[#This Row],[P Piso]]*25%)</f>
        <v>4417.6440000000002</v>
      </c>
      <c r="K233" s="440">
        <f>IF((1-(Tabla1[[#This Row],[P Piso-25%]]/Tabla1[[#This Row],[P Oferta]]))=1,0,1-(Tabla1[[#This Row],[P Piso-25%]]/Tabla1[[#This Row],[P Oferta]]))</f>
        <v>0.68653070719602982</v>
      </c>
      <c r="L233" s="379"/>
      <c r="M233" s="469">
        <v>229</v>
      </c>
      <c r="N233" s="473"/>
      <c r="O233" s="473"/>
      <c r="P233" s="474"/>
      <c r="Q233" s="381"/>
      <c r="R233" s="380"/>
      <c r="S233" s="381"/>
      <c r="T233" s="106"/>
      <c r="W233" s="377">
        <v>0</v>
      </c>
    </row>
    <row r="234" spans="1:23" ht="13.5" customHeight="1">
      <c r="A234" s="477">
        <v>224</v>
      </c>
      <c r="B234" s="478" t="s">
        <v>237</v>
      </c>
      <c r="C234" s="378" t="s">
        <v>366</v>
      </c>
      <c r="D234" s="387">
        <f>VLOOKUP(A234,'Evento Cotiz'!$W$49:$Y$455,3,FALSE)</f>
        <v>0</v>
      </c>
      <c r="E234" s="422">
        <f>VLOOKUP(A234,'Evento Cotiz'!$A$49:$T$459,12,FALSE)</f>
        <v>3708.9632000000001</v>
      </c>
      <c r="F234" s="427">
        <f>VLOOKUP(A234,'Evento Cotiz'!$A$49:$T$459,13,FALSE)</f>
        <v>663.32960000000003</v>
      </c>
      <c r="G234" s="428">
        <f>Tabla1[[#This Row],[Cantidad]]*Tabla1[[#This Row],[P Piso]]</f>
        <v>0</v>
      </c>
      <c r="H234" s="433">
        <f>Tabla1[[#This Row],[P Piso]]-(Tabla1[[#This Row],[P Piso]]*20%)</f>
        <v>530.66368</v>
      </c>
      <c r="I234" s="434">
        <f>IF((1-(Tabla1[[#This Row],[P Piso-20%]]/Tabla1[[#This Row],[P Oferta]]))=1,0,1-(Tabla1[[#This Row],[P Piso-20%]]/Tabla1[[#This Row],[P Oferta]]))</f>
        <v>0.85692398350029464</v>
      </c>
      <c r="J234" s="439">
        <f>Tabla1[[#This Row],[P Piso]]-(Tabla1[[#This Row],[P Piso]]*25%)</f>
        <v>497.49720000000002</v>
      </c>
      <c r="K234" s="440">
        <f>IF((1-(Tabla1[[#This Row],[P Piso-25%]]/Tabla1[[#This Row],[P Oferta]]))=1,0,1-(Tabla1[[#This Row],[P Piso-25%]]/Tabla1[[#This Row],[P Oferta]]))</f>
        <v>0.86586623453152622</v>
      </c>
      <c r="L234" s="379"/>
      <c r="M234" s="469">
        <v>230</v>
      </c>
      <c r="N234" s="473"/>
      <c r="O234" s="473"/>
      <c r="P234" s="474"/>
      <c r="Q234" s="381"/>
      <c r="R234" s="380"/>
      <c r="S234" s="381"/>
      <c r="T234" s="106"/>
      <c r="W234" s="377">
        <v>0</v>
      </c>
    </row>
    <row r="235" spans="1:23" ht="13.5" customHeight="1">
      <c r="A235" s="477">
        <v>225</v>
      </c>
      <c r="B235" s="478" t="s">
        <v>237</v>
      </c>
      <c r="C235" s="378" t="s">
        <v>365</v>
      </c>
      <c r="D235" s="387">
        <f>VLOOKUP(A235,'Evento Cotiz'!$W$49:$Y$455,3,FALSE)</f>
        <v>0</v>
      </c>
      <c r="E235" s="422">
        <f>VLOOKUP(A235,'Evento Cotiz'!$A$49:$T$459,12,FALSE)</f>
        <v>21113.988799999999</v>
      </c>
      <c r="F235" s="427">
        <f>VLOOKUP(A235,'Evento Cotiz'!$A$49:$T$459,13,FALSE)</f>
        <v>5889.0991999999997</v>
      </c>
      <c r="G235" s="428">
        <f>Tabla1[[#This Row],[Cantidad]]*Tabla1[[#This Row],[P Piso]]</f>
        <v>0</v>
      </c>
      <c r="H235" s="433">
        <f>Tabla1[[#This Row],[P Piso]]-(Tabla1[[#This Row],[P Piso]]*20%)</f>
        <v>4711.2793599999995</v>
      </c>
      <c r="I235" s="434">
        <f>IF((1-(Tabla1[[#This Row],[P Piso-20%]]/Tabla1[[#This Row],[P Oferta]]))=1,0,1-(Tabla1[[#This Row],[P Piso-20%]]/Tabla1[[#This Row],[P Oferta]]))</f>
        <v>0.77686455152424827</v>
      </c>
      <c r="J235" s="439">
        <f>Tabla1[[#This Row],[P Piso]]-(Tabla1[[#This Row],[P Piso]]*25%)</f>
        <v>4416.8243999999995</v>
      </c>
      <c r="K235" s="440">
        <f>IF((1-(Tabla1[[#This Row],[P Piso-25%]]/Tabla1[[#This Row],[P Oferta]]))=1,0,1-(Tabla1[[#This Row],[P Piso-25%]]/Tabla1[[#This Row],[P Oferta]]))</f>
        <v>0.79081051705398275</v>
      </c>
      <c r="L235" s="379"/>
      <c r="M235" s="469">
        <v>231</v>
      </c>
      <c r="N235" s="473"/>
      <c r="O235" s="473"/>
      <c r="P235" s="474"/>
      <c r="Q235" s="381"/>
      <c r="R235" s="380"/>
      <c r="S235" s="381"/>
      <c r="T235" s="106"/>
      <c r="W235" s="377">
        <v>0</v>
      </c>
    </row>
    <row r="236" spans="1:23" ht="13.5" customHeight="1">
      <c r="A236" s="477">
        <v>226</v>
      </c>
      <c r="B236" s="478" t="s">
        <v>238</v>
      </c>
      <c r="C236" s="378" t="s">
        <v>366</v>
      </c>
      <c r="D236" s="387">
        <f>VLOOKUP(A236,'Evento Cotiz'!$W$49:$Y$455,3,FALSE)</f>
        <v>0</v>
      </c>
      <c r="E236" s="422">
        <f>VLOOKUP(A236,'Evento Cotiz'!$A$49:$T$459,12,FALSE)</f>
        <v>4104.5568000000003</v>
      </c>
      <c r="F236" s="427">
        <f>VLOOKUP(A236,'Evento Cotiz'!$A$49:$T$459,13,FALSE)</f>
        <v>742.01120000000003</v>
      </c>
      <c r="G236" s="428">
        <f>Tabla1[[#This Row],[Cantidad]]*Tabla1[[#This Row],[P Piso]]</f>
        <v>0</v>
      </c>
      <c r="H236" s="433">
        <f>Tabla1[[#This Row],[P Piso]]-(Tabla1[[#This Row],[P Piso]]*20%)</f>
        <v>593.60896000000002</v>
      </c>
      <c r="I236" s="434">
        <f>IF((1-(Tabla1[[#This Row],[P Piso-20%]]/Tabla1[[#This Row],[P Oferta]]))=1,0,1-(Tabla1[[#This Row],[P Piso-20%]]/Tabla1[[#This Row],[P Oferta]]))</f>
        <v>0.85537806176783815</v>
      </c>
      <c r="J236" s="439">
        <f>Tabla1[[#This Row],[P Piso]]-(Tabla1[[#This Row],[P Piso]]*25%)</f>
        <v>556.50840000000005</v>
      </c>
      <c r="K236" s="440">
        <f>IF((1-(Tabla1[[#This Row],[P Piso-25%]]/Tabla1[[#This Row],[P Oferta]]))=1,0,1-(Tabla1[[#This Row],[P Piso-25%]]/Tabla1[[#This Row],[P Oferta]]))</f>
        <v>0.86441693290734822</v>
      </c>
      <c r="L236" s="379"/>
      <c r="M236" s="469">
        <v>232</v>
      </c>
      <c r="N236" s="473"/>
      <c r="O236" s="473"/>
      <c r="P236" s="474"/>
      <c r="Q236" s="381"/>
      <c r="R236" s="380"/>
      <c r="S236" s="381"/>
      <c r="T236" s="106"/>
      <c r="W236" s="377">
        <v>0</v>
      </c>
    </row>
    <row r="237" spans="1:23" ht="13.5" customHeight="1">
      <c r="A237" s="477">
        <v>227</v>
      </c>
      <c r="B237" s="478" t="s">
        <v>238</v>
      </c>
      <c r="C237" s="378" t="s">
        <v>365</v>
      </c>
      <c r="D237" s="387">
        <f>VLOOKUP(A237,'Evento Cotiz'!$W$49:$Y$455,3,FALSE)</f>
        <v>0</v>
      </c>
      <c r="E237" s="422">
        <f>VLOOKUP(A237,'Evento Cotiz'!$A$49:$T$459,12,FALSE)</f>
        <v>23401.2192</v>
      </c>
      <c r="F237" s="427">
        <f>VLOOKUP(A237,'Evento Cotiz'!$A$49:$T$459,13,FALSE)</f>
        <v>5048.7359999999999</v>
      </c>
      <c r="G237" s="428">
        <f>Tabla1[[#This Row],[Cantidad]]*Tabla1[[#This Row],[P Piso]]</f>
        <v>0</v>
      </c>
      <c r="H237" s="433">
        <f>Tabla1[[#This Row],[P Piso]]-(Tabla1[[#This Row],[P Piso]]*20%)</f>
        <v>4038.9888000000001</v>
      </c>
      <c r="I237" s="434">
        <f>IF((1-(Tabla1[[#This Row],[P Piso-20%]]/Tabla1[[#This Row],[P Oferta]]))=1,0,1-(Tabla1[[#This Row],[P Piso-20%]]/Tabla1[[#This Row],[P Oferta]]))</f>
        <v>0.82740263379097789</v>
      </c>
      <c r="J237" s="439">
        <f>Tabla1[[#This Row],[P Piso]]-(Tabla1[[#This Row],[P Piso]]*25%)</f>
        <v>3786.5519999999997</v>
      </c>
      <c r="K237" s="440">
        <f>IF((1-(Tabla1[[#This Row],[P Piso-25%]]/Tabla1[[#This Row],[P Oferta]]))=1,0,1-(Tabla1[[#This Row],[P Piso-25%]]/Tabla1[[#This Row],[P Oferta]]))</f>
        <v>0.83818996917904176</v>
      </c>
      <c r="L237" s="379"/>
      <c r="M237" s="469">
        <v>233</v>
      </c>
      <c r="N237" s="473"/>
      <c r="O237" s="473"/>
      <c r="P237" s="474"/>
      <c r="Q237" s="381"/>
      <c r="R237" s="380"/>
      <c r="S237" s="381"/>
      <c r="T237" s="106"/>
      <c r="W237" s="377">
        <v>0</v>
      </c>
    </row>
    <row r="238" spans="1:23" ht="13.5" customHeight="1">
      <c r="A238" s="477">
        <v>228</v>
      </c>
      <c r="B238" s="478" t="s">
        <v>239</v>
      </c>
      <c r="C238" s="378" t="s">
        <v>366</v>
      </c>
      <c r="D238" s="387">
        <f>VLOOKUP(A238,'Evento Cotiz'!$W$49:$Y$455,3,FALSE)</f>
        <v>0</v>
      </c>
      <c r="E238" s="422">
        <f>VLOOKUP(A238,'Evento Cotiz'!$A$49:$T$459,12,FALSE)</f>
        <v>1668.7056</v>
      </c>
      <c r="F238" s="427">
        <f>VLOOKUP(A238,'Evento Cotiz'!$A$49:$T$459,13,FALSE)</f>
        <v>689.55679999999995</v>
      </c>
      <c r="G238" s="428">
        <f>Tabla1[[#This Row],[Cantidad]]*Tabla1[[#This Row],[P Piso]]</f>
        <v>0</v>
      </c>
      <c r="H238" s="433">
        <f>Tabla1[[#This Row],[P Piso]]-(Tabla1[[#This Row],[P Piso]]*20%)</f>
        <v>551.64544000000001</v>
      </c>
      <c r="I238" s="434">
        <f>IF((1-(Tabla1[[#This Row],[P Piso-20%]]/Tabla1[[#This Row],[P Oferta]]))=1,0,1-(Tabla1[[#This Row],[P Piso-20%]]/Tabla1[[#This Row],[P Oferta]]))</f>
        <v>0.66941715782580224</v>
      </c>
      <c r="J238" s="439">
        <f>Tabla1[[#This Row],[P Piso]]-(Tabla1[[#This Row],[P Piso]]*25%)</f>
        <v>517.16759999999999</v>
      </c>
      <c r="K238" s="440">
        <f>IF((1-(Tabla1[[#This Row],[P Piso-25%]]/Tabla1[[#This Row],[P Oferta]]))=1,0,1-(Tabla1[[#This Row],[P Piso-25%]]/Tabla1[[#This Row],[P Oferta]]))</f>
        <v>0.69007858546168954</v>
      </c>
      <c r="L238" s="379"/>
      <c r="M238" s="469">
        <v>234</v>
      </c>
      <c r="N238" s="473"/>
      <c r="O238" s="473"/>
      <c r="P238" s="474"/>
      <c r="Q238" s="381"/>
      <c r="R238" s="380"/>
      <c r="S238" s="381"/>
      <c r="T238" s="106"/>
      <c r="W238" s="377">
        <v>0</v>
      </c>
    </row>
    <row r="239" spans="1:23" ht="13.5" customHeight="1">
      <c r="A239" s="477">
        <v>229</v>
      </c>
      <c r="B239" s="478" t="s">
        <v>239</v>
      </c>
      <c r="C239" s="378" t="s">
        <v>365</v>
      </c>
      <c r="D239" s="387">
        <f>VLOOKUP(A239,'Evento Cotiz'!$W$49:$Y$455,3,FALSE)</f>
        <v>0</v>
      </c>
      <c r="E239" s="422">
        <f>VLOOKUP(A239,'Evento Cotiz'!$A$49:$T$459,12,FALSE)</f>
        <v>10248.278399999999</v>
      </c>
      <c r="F239" s="427">
        <f>VLOOKUP(A239,'Evento Cotiz'!$A$49:$T$459,13,FALSE)</f>
        <v>4208.3728000000001</v>
      </c>
      <c r="G239" s="428">
        <f>Tabla1[[#This Row],[Cantidad]]*Tabla1[[#This Row],[P Piso]]</f>
        <v>0</v>
      </c>
      <c r="H239" s="433">
        <f>Tabla1[[#This Row],[P Piso]]-(Tabla1[[#This Row],[P Piso]]*20%)</f>
        <v>3366.6982400000002</v>
      </c>
      <c r="I239" s="434">
        <f>IF((1-(Tabla1[[#This Row],[P Piso-20%]]/Tabla1[[#This Row],[P Oferta]]))=1,0,1-(Tabla1[[#This Row],[P Piso-20%]]/Tabla1[[#This Row],[P Oferta]]))</f>
        <v>0.67148645766687987</v>
      </c>
      <c r="J239" s="439">
        <f>Tabla1[[#This Row],[P Piso]]-(Tabla1[[#This Row],[P Piso]]*25%)</f>
        <v>3156.2795999999998</v>
      </c>
      <c r="K239" s="440">
        <f>IF((1-(Tabla1[[#This Row],[P Piso-25%]]/Tabla1[[#This Row],[P Oferta]]))=1,0,1-(Tabla1[[#This Row],[P Piso-25%]]/Tabla1[[#This Row],[P Oferta]]))</f>
        <v>0.69201855406269996</v>
      </c>
      <c r="L239" s="379"/>
      <c r="M239" s="469">
        <v>235</v>
      </c>
      <c r="N239" s="473"/>
      <c r="O239" s="473"/>
      <c r="P239" s="474"/>
      <c r="Q239" s="381"/>
      <c r="R239" s="380"/>
      <c r="S239" s="381"/>
      <c r="T239" s="106"/>
      <c r="W239" s="377">
        <v>0</v>
      </c>
    </row>
    <row r="240" spans="1:23" ht="13.5" customHeight="1">
      <c r="A240" s="477">
        <v>230</v>
      </c>
      <c r="B240" s="478" t="s">
        <v>240</v>
      </c>
      <c r="C240" s="378" t="s">
        <v>365</v>
      </c>
      <c r="D240" s="387">
        <f>VLOOKUP(A240,'Evento Cotiz'!$W$49:$Y$455,3,FALSE)</f>
        <v>0</v>
      </c>
      <c r="E240" s="422">
        <f>VLOOKUP(A240,'Evento Cotiz'!$A$49:$T$459,12,FALSE)</f>
        <v>150293.8768</v>
      </c>
      <c r="F240" s="427">
        <f>VLOOKUP(A240,'Evento Cotiz'!$A$49:$T$459,13,FALSE)</f>
        <v>5496.7839999999997</v>
      </c>
      <c r="G240" s="428">
        <f>Tabla1[[#This Row],[Cantidad]]*Tabla1[[#This Row],[P Piso]]</f>
        <v>0</v>
      </c>
      <c r="H240" s="433">
        <f>Tabla1[[#This Row],[P Piso]]-(Tabla1[[#This Row],[P Piso]]*20%)</f>
        <v>4397.4272000000001</v>
      </c>
      <c r="I240" s="434">
        <f>IF((1-(Tabla1[[#This Row],[P Piso-20%]]/Tabla1[[#This Row],[P Oferta]]))=1,0,1-(Tabla1[[#This Row],[P Piso-20%]]/Tabla1[[#This Row],[P Oferta]]))</f>
        <v>0.97074114199707706</v>
      </c>
      <c r="J240" s="439">
        <f>Tabla1[[#This Row],[P Piso]]-(Tabla1[[#This Row],[P Piso]]*25%)</f>
        <v>4122.5879999999997</v>
      </c>
      <c r="K240" s="440">
        <f>IF((1-(Tabla1[[#This Row],[P Piso-25%]]/Tabla1[[#This Row],[P Oferta]]))=1,0,1-(Tabla1[[#This Row],[P Piso-25%]]/Tabla1[[#This Row],[P Oferta]]))</f>
        <v>0.97256982062225972</v>
      </c>
      <c r="L240" s="379"/>
      <c r="M240" s="469">
        <v>236</v>
      </c>
      <c r="N240" s="473"/>
      <c r="O240" s="473"/>
      <c r="P240" s="474"/>
      <c r="Q240" s="381"/>
      <c r="R240" s="380"/>
      <c r="S240" s="381"/>
      <c r="T240" s="106"/>
      <c r="W240" s="377">
        <v>0</v>
      </c>
    </row>
    <row r="241" spans="1:23" ht="13.5" customHeight="1">
      <c r="A241" s="477">
        <v>231</v>
      </c>
      <c r="B241" s="478" t="s">
        <v>241</v>
      </c>
      <c r="C241" s="378" t="s">
        <v>366</v>
      </c>
      <c r="D241" s="387">
        <f>VLOOKUP(A241,'Evento Cotiz'!$W$49:$Y$455,3,FALSE)</f>
        <v>0</v>
      </c>
      <c r="E241" s="422">
        <f>VLOOKUP(A241,'Evento Cotiz'!$A$49:$T$459,12,FALSE)</f>
        <v>3646.6736000000001</v>
      </c>
      <c r="F241" s="427">
        <f>VLOOKUP(A241,'Evento Cotiz'!$A$49:$T$459,13,FALSE)</f>
        <v>1127.7696000000001</v>
      </c>
      <c r="G241" s="428">
        <f>Tabla1[[#This Row],[Cantidad]]*Tabla1[[#This Row],[P Piso]]</f>
        <v>0</v>
      </c>
      <c r="H241" s="433">
        <f>Tabla1[[#This Row],[P Piso]]-(Tabla1[[#This Row],[P Piso]]*20%)</f>
        <v>902.21568000000002</v>
      </c>
      <c r="I241" s="434">
        <f>IF((1-(Tabla1[[#This Row],[P Piso-20%]]/Tabla1[[#This Row],[P Oferta]]))=1,0,1-(Tabla1[[#This Row],[P Piso-20%]]/Tabla1[[#This Row],[P Oferta]]))</f>
        <v>0.75259214863649981</v>
      </c>
      <c r="J241" s="439">
        <f>Tabla1[[#This Row],[P Piso]]-(Tabla1[[#This Row],[P Piso]]*25%)</f>
        <v>845.82720000000006</v>
      </c>
      <c r="K241" s="440">
        <f>IF((1-(Tabla1[[#This Row],[P Piso-25%]]/Tabla1[[#This Row],[P Oferta]]))=1,0,1-(Tabla1[[#This Row],[P Piso-25%]]/Tabla1[[#This Row],[P Oferta]]))</f>
        <v>0.76805513934671854</v>
      </c>
      <c r="L241" s="379"/>
      <c r="M241" s="469">
        <v>237</v>
      </c>
      <c r="N241" s="473"/>
      <c r="O241" s="473"/>
      <c r="P241" s="474"/>
      <c r="Q241" s="381"/>
      <c r="R241" s="380"/>
      <c r="S241" s="381"/>
      <c r="T241" s="106"/>
      <c r="W241" s="377">
        <v>0</v>
      </c>
    </row>
    <row r="242" spans="1:23" ht="13.5" customHeight="1">
      <c r="A242" s="477">
        <v>232</v>
      </c>
      <c r="B242" s="478" t="s">
        <v>241</v>
      </c>
      <c r="C242" s="378" t="s">
        <v>365</v>
      </c>
      <c r="D242" s="387">
        <f>VLOOKUP(A242,'Evento Cotiz'!$W$49:$Y$455,3,FALSE)</f>
        <v>0</v>
      </c>
      <c r="E242" s="422">
        <f>VLOOKUP(A242,'Evento Cotiz'!$A$49:$T$459,12,FALSE)</f>
        <v>21372.982400000001</v>
      </c>
      <c r="F242" s="427">
        <f>VLOOKUP(A242,'Evento Cotiz'!$A$49:$T$459,13,FALSE)</f>
        <v>10853.6896</v>
      </c>
      <c r="G242" s="428">
        <f>Tabla1[[#This Row],[Cantidad]]*Tabla1[[#This Row],[P Piso]]</f>
        <v>0</v>
      </c>
      <c r="H242" s="433">
        <f>Tabla1[[#This Row],[P Piso]]-(Tabla1[[#This Row],[P Piso]]*20%)</f>
        <v>8682.9516800000001</v>
      </c>
      <c r="I242" s="434">
        <f>IF((1-(Tabla1[[#This Row],[P Piso-20%]]/Tabla1[[#This Row],[P Oferta]]))=1,0,1-(Tabla1[[#This Row],[P Piso-20%]]/Tabla1[[#This Row],[P Oferta]]))</f>
        <v>0.59374169137948662</v>
      </c>
      <c r="J242" s="439">
        <f>Tabla1[[#This Row],[P Piso]]-(Tabla1[[#This Row],[P Piso]]*25%)</f>
        <v>8140.2672000000002</v>
      </c>
      <c r="K242" s="440">
        <f>IF((1-(Tabla1[[#This Row],[P Piso-25%]]/Tabla1[[#This Row],[P Oferta]]))=1,0,1-(Tabla1[[#This Row],[P Piso-25%]]/Tabla1[[#This Row],[P Oferta]]))</f>
        <v>0.61913283566826882</v>
      </c>
      <c r="L242" s="379"/>
      <c r="M242" s="469">
        <v>238</v>
      </c>
      <c r="N242" s="473"/>
      <c r="O242" s="473"/>
      <c r="P242" s="474"/>
      <c r="Q242" s="381"/>
      <c r="R242" s="380"/>
      <c r="S242" s="381"/>
      <c r="T242" s="106"/>
      <c r="W242" s="377">
        <v>0</v>
      </c>
    </row>
    <row r="243" spans="1:23" ht="13.5" customHeight="1">
      <c r="A243" s="477">
        <v>233</v>
      </c>
      <c r="B243" s="478" t="s">
        <v>242</v>
      </c>
      <c r="C243" s="378" t="s">
        <v>366</v>
      </c>
      <c r="D243" s="387">
        <f>VLOOKUP(A243,'Evento Cotiz'!$W$49:$Y$455,3,FALSE)</f>
        <v>0</v>
      </c>
      <c r="E243" s="422">
        <f>VLOOKUP(A243,'Evento Cotiz'!$A$49:$T$459,12,FALSE)</f>
        <v>71735.763200000001</v>
      </c>
      <c r="F243" s="427">
        <f>VLOOKUP(A243,'Evento Cotiz'!$A$49:$T$459,13,FALSE)</f>
        <v>4629.1008000000002</v>
      </c>
      <c r="G243" s="428">
        <f>Tabla1[[#This Row],[Cantidad]]*Tabla1[[#This Row],[P Piso]]</f>
        <v>0</v>
      </c>
      <c r="H243" s="433">
        <f>Tabla1[[#This Row],[P Piso]]-(Tabla1[[#This Row],[P Piso]]*20%)</f>
        <v>3703.2806399999999</v>
      </c>
      <c r="I243" s="434">
        <f>IF((1-(Tabla1[[#This Row],[P Piso-20%]]/Tabla1[[#This Row],[P Oferta]]))=1,0,1-(Tabla1[[#This Row],[P Piso-20%]]/Tabla1[[#This Row],[P Oferta]]))</f>
        <v>0.94837608920845773</v>
      </c>
      <c r="J243" s="439">
        <f>Tabla1[[#This Row],[P Piso]]-(Tabla1[[#This Row],[P Piso]]*25%)</f>
        <v>3471.8256000000001</v>
      </c>
      <c r="K243" s="440">
        <f>IF((1-(Tabla1[[#This Row],[P Piso-25%]]/Tabla1[[#This Row],[P Oferta]]))=1,0,1-(Tabla1[[#This Row],[P Piso-25%]]/Tabla1[[#This Row],[P Oferta]]))</f>
        <v>0.95160258363292916</v>
      </c>
      <c r="L243" s="379"/>
      <c r="M243" s="469">
        <v>239</v>
      </c>
      <c r="N243" s="473"/>
      <c r="O243" s="473"/>
      <c r="P243" s="474"/>
      <c r="Q243" s="381"/>
      <c r="R243" s="380"/>
      <c r="S243" s="381"/>
      <c r="T243" s="106"/>
      <c r="W243" s="377">
        <v>0</v>
      </c>
    </row>
    <row r="244" spans="1:23" ht="13.5" customHeight="1">
      <c r="A244" s="477">
        <v>234</v>
      </c>
      <c r="B244" s="478" t="s">
        <v>242</v>
      </c>
      <c r="C244" s="378" t="s">
        <v>365</v>
      </c>
      <c r="D244" s="387">
        <f>VLOOKUP(A244,'Evento Cotiz'!$W$49:$Y$455,3,FALSE)</f>
        <v>0</v>
      </c>
      <c r="E244" s="422">
        <f>VLOOKUP(A244,'Evento Cotiz'!$A$49:$T$459,12,FALSE)</f>
        <v>334781.4656</v>
      </c>
      <c r="F244" s="427">
        <f>VLOOKUP(A244,'Evento Cotiz'!$A$49:$T$459,13,FALSE)</f>
        <v>9391.5231999999996</v>
      </c>
      <c r="G244" s="428">
        <f>Tabla1[[#This Row],[Cantidad]]*Tabla1[[#This Row],[P Piso]]</f>
        <v>0</v>
      </c>
      <c r="H244" s="433">
        <f>Tabla1[[#This Row],[P Piso]]-(Tabla1[[#This Row],[P Piso]]*20%)</f>
        <v>7513.2185599999993</v>
      </c>
      <c r="I244" s="434">
        <f>IF((1-(Tabla1[[#This Row],[P Piso-20%]]/Tabla1[[#This Row],[P Oferta]]))=1,0,1-(Tabla1[[#This Row],[P Piso-20%]]/Tabla1[[#This Row],[P Oferta]]))</f>
        <v>0.97755784195957596</v>
      </c>
      <c r="J244" s="439">
        <f>Tabla1[[#This Row],[P Piso]]-(Tabla1[[#This Row],[P Piso]]*25%)</f>
        <v>7043.6423999999997</v>
      </c>
      <c r="K244" s="440">
        <f>IF((1-(Tabla1[[#This Row],[P Piso-25%]]/Tabla1[[#This Row],[P Oferta]]))=1,0,1-(Tabla1[[#This Row],[P Piso-25%]]/Tabla1[[#This Row],[P Oferta]]))</f>
        <v>0.97896047683710241</v>
      </c>
      <c r="L244" s="379"/>
      <c r="M244" s="469">
        <v>240</v>
      </c>
      <c r="N244" s="473"/>
      <c r="O244" s="473"/>
      <c r="P244" s="474"/>
      <c r="Q244" s="381"/>
      <c r="R244" s="380"/>
      <c r="S244" s="381"/>
      <c r="T244" s="106"/>
      <c r="W244" s="377">
        <v>0</v>
      </c>
    </row>
    <row r="245" spans="1:23" ht="24" customHeight="1">
      <c r="A245" s="477">
        <v>235</v>
      </c>
      <c r="B245" s="478" t="s">
        <v>243</v>
      </c>
      <c r="C245" s="378" t="s">
        <v>366</v>
      </c>
      <c r="D245" s="387">
        <f>VLOOKUP(A245,'Evento Cotiz'!$W$49:$Y$455,3,FALSE)</f>
        <v>0</v>
      </c>
      <c r="E245" s="422">
        <f>VLOOKUP(A245,'Evento Cotiz'!$A$49:$T$459,12,FALSE)</f>
        <v>34650.502399999998</v>
      </c>
      <c r="F245" s="427">
        <f>VLOOKUP(A245,'Evento Cotiz'!$A$49:$T$459,13,FALSE)</f>
        <v>4695.7615999999998</v>
      </c>
      <c r="G245" s="428">
        <f>Tabla1[[#This Row],[Cantidad]]*Tabla1[[#This Row],[P Piso]]</f>
        <v>0</v>
      </c>
      <c r="H245" s="433">
        <f>Tabla1[[#This Row],[P Piso]]-(Tabla1[[#This Row],[P Piso]]*20%)</f>
        <v>3756.6092799999997</v>
      </c>
      <c r="I245" s="434">
        <f>IF((1-(Tabla1[[#This Row],[P Piso-20%]]/Tabla1[[#This Row],[P Oferta]]))=1,0,1-(Tabla1[[#This Row],[P Piso-20%]]/Tabla1[[#This Row],[P Oferta]]))</f>
        <v>0.89158571969219125</v>
      </c>
      <c r="J245" s="439">
        <f>Tabla1[[#This Row],[P Piso]]-(Tabla1[[#This Row],[P Piso]]*25%)</f>
        <v>3521.8211999999999</v>
      </c>
      <c r="K245" s="440">
        <f>IF((1-(Tabla1[[#This Row],[P Piso-25%]]/Tabla1[[#This Row],[P Oferta]]))=1,0,1-(Tabla1[[#This Row],[P Piso-25%]]/Tabla1[[#This Row],[P Oferta]]))</f>
        <v>0.89836161221142929</v>
      </c>
      <c r="L245" s="379"/>
      <c r="M245" s="469">
        <v>241</v>
      </c>
      <c r="N245" s="473"/>
      <c r="O245" s="473"/>
      <c r="P245" s="474"/>
      <c r="Q245" s="381"/>
      <c r="R245" s="380"/>
      <c r="S245" s="381"/>
      <c r="T245" s="106"/>
      <c r="W245" s="377">
        <v>0</v>
      </c>
    </row>
    <row r="246" spans="1:23" ht="13.5" customHeight="1">
      <c r="A246" s="477">
        <v>236</v>
      </c>
      <c r="B246" s="478" t="s">
        <v>243</v>
      </c>
      <c r="C246" s="378" t="s">
        <v>365</v>
      </c>
      <c r="D246" s="387">
        <f>VLOOKUP(A246,'Evento Cotiz'!$W$49:$Y$455,3,FALSE)</f>
        <v>0</v>
      </c>
      <c r="E246" s="422">
        <f>VLOOKUP(A246,'Evento Cotiz'!$A$49:$T$459,12,FALSE)</f>
        <v>191842.13279999999</v>
      </c>
      <c r="F246" s="427">
        <f>VLOOKUP(A246,'Evento Cotiz'!$A$49:$T$459,13,FALSE)</f>
        <v>4695.7615999999998</v>
      </c>
      <c r="G246" s="428">
        <f>Tabla1[[#This Row],[Cantidad]]*Tabla1[[#This Row],[P Piso]]</f>
        <v>0</v>
      </c>
      <c r="H246" s="433">
        <f>Tabla1[[#This Row],[P Piso]]-(Tabla1[[#This Row],[P Piso]]*20%)</f>
        <v>3756.6092799999997</v>
      </c>
      <c r="I246" s="434">
        <f>IF((1-(Tabla1[[#This Row],[P Piso-20%]]/Tabla1[[#This Row],[P Oferta]]))=1,0,1-(Tabla1[[#This Row],[P Piso-20%]]/Tabla1[[#This Row],[P Oferta]]))</f>
        <v>0.98041822604257456</v>
      </c>
      <c r="J246" s="439">
        <f>Tabla1[[#This Row],[P Piso]]-(Tabla1[[#This Row],[P Piso]]*25%)</f>
        <v>3521.8211999999999</v>
      </c>
      <c r="K246" s="440">
        <f>IF((1-(Tabla1[[#This Row],[P Piso-25%]]/Tabla1[[#This Row],[P Oferta]]))=1,0,1-(Tabla1[[#This Row],[P Piso-25%]]/Tabla1[[#This Row],[P Oferta]]))</f>
        <v>0.98164208691491361</v>
      </c>
      <c r="L246" s="379"/>
      <c r="M246" s="469">
        <v>242</v>
      </c>
      <c r="N246" s="473"/>
      <c r="O246" s="473"/>
      <c r="P246" s="474"/>
      <c r="Q246" s="381"/>
      <c r="R246" s="380"/>
      <c r="S246" s="381"/>
      <c r="T246" s="106"/>
      <c r="W246" s="377">
        <v>0</v>
      </c>
    </row>
    <row r="247" spans="1:23" ht="13.5" customHeight="1">
      <c r="A247" s="477">
        <v>237</v>
      </c>
      <c r="B247" s="478" t="s">
        <v>244</v>
      </c>
      <c r="C247" s="378" t="s">
        <v>365</v>
      </c>
      <c r="D247" s="387">
        <f>VLOOKUP(A247,'Evento Cotiz'!$W$49:$Y$455,3,FALSE)</f>
        <v>0</v>
      </c>
      <c r="E247" s="422">
        <f>VLOOKUP(A247,'Evento Cotiz'!$A$49:$T$459,12,FALSE)</f>
        <v>37888.468800000002</v>
      </c>
      <c r="F247" s="427">
        <f>VLOOKUP(A247,'Evento Cotiz'!$A$49:$T$459,13,FALSE)</f>
        <v>549.67840000000001</v>
      </c>
      <c r="G247" s="428">
        <f>Tabla1[[#This Row],[Cantidad]]*Tabla1[[#This Row],[P Piso]]</f>
        <v>0</v>
      </c>
      <c r="H247" s="433">
        <f>Tabla1[[#This Row],[P Piso]]-(Tabla1[[#This Row],[P Piso]]*20%)</f>
        <v>439.74272000000002</v>
      </c>
      <c r="I247" s="434">
        <f>IF((1-(Tabla1[[#This Row],[P Piso-20%]]/Tabla1[[#This Row],[P Oferta]]))=1,0,1-(Tabla1[[#This Row],[P Piso-20%]]/Tabla1[[#This Row],[P Oferta]]))</f>
        <v>0.98839375847249866</v>
      </c>
      <c r="J247" s="439">
        <f>Tabla1[[#This Row],[P Piso]]-(Tabla1[[#This Row],[P Piso]]*25%)</f>
        <v>412.25880000000001</v>
      </c>
      <c r="K247" s="440">
        <f>IF((1-(Tabla1[[#This Row],[P Piso-25%]]/Tabla1[[#This Row],[P Oferta]]))=1,0,1-(Tabla1[[#This Row],[P Piso-25%]]/Tabla1[[#This Row],[P Oferta]]))</f>
        <v>0.98911914856796745</v>
      </c>
      <c r="L247" s="379"/>
      <c r="M247" s="469">
        <v>243</v>
      </c>
      <c r="N247" s="473"/>
      <c r="O247" s="473"/>
      <c r="P247" s="474"/>
      <c r="Q247" s="381"/>
      <c r="R247" s="380"/>
      <c r="S247" s="381"/>
      <c r="T247" s="106"/>
      <c r="W247" s="377">
        <v>0</v>
      </c>
    </row>
    <row r="248" spans="1:23" ht="13.5" customHeight="1">
      <c r="A248" s="477">
        <v>238</v>
      </c>
      <c r="B248" s="478" t="s">
        <v>245</v>
      </c>
      <c r="C248" s="378" t="s">
        <v>365</v>
      </c>
      <c r="D248" s="387">
        <f>VLOOKUP(A248,'Evento Cotiz'!$W$49:$Y$455,3,FALSE)</f>
        <v>0</v>
      </c>
      <c r="E248" s="422">
        <f>VLOOKUP(A248,'Evento Cotiz'!$A$49:$T$459,12,FALSE)</f>
        <v>26887.251199999999</v>
      </c>
      <c r="F248" s="427">
        <f>VLOOKUP(A248,'Evento Cotiz'!$A$49:$T$459,13,FALSE)</f>
        <v>618.52480000000003</v>
      </c>
      <c r="G248" s="428">
        <f>Tabla1[[#This Row],[Cantidad]]*Tabla1[[#This Row],[P Piso]]</f>
        <v>0</v>
      </c>
      <c r="H248" s="433">
        <f>Tabla1[[#This Row],[P Piso]]-(Tabla1[[#This Row],[P Piso]]*20%)</f>
        <v>494.81984</v>
      </c>
      <c r="I248" s="434">
        <f>IF((1-(Tabla1[[#This Row],[P Piso-20%]]/Tabla1[[#This Row],[P Oferta]]))=1,0,1-(Tabla1[[#This Row],[P Piso-20%]]/Tabla1[[#This Row],[P Oferta]]))</f>
        <v>0.98159648837587388</v>
      </c>
      <c r="J248" s="439">
        <f>Tabla1[[#This Row],[P Piso]]-(Tabla1[[#This Row],[P Piso]]*25%)</f>
        <v>463.89359999999999</v>
      </c>
      <c r="K248" s="440">
        <f>IF((1-(Tabla1[[#This Row],[P Piso-25%]]/Tabla1[[#This Row],[P Oferta]]))=1,0,1-(Tabla1[[#This Row],[P Piso-25%]]/Tabla1[[#This Row],[P Oferta]]))</f>
        <v>0.98274670785238172</v>
      </c>
      <c r="L248" s="379"/>
      <c r="M248" s="469">
        <v>244</v>
      </c>
      <c r="N248" s="473"/>
      <c r="O248" s="473"/>
      <c r="P248" s="474"/>
      <c r="Q248" s="381"/>
      <c r="R248" s="380"/>
      <c r="S248" s="381"/>
      <c r="T248" s="106"/>
      <c r="W248" s="377">
        <v>0</v>
      </c>
    </row>
    <row r="249" spans="1:23" ht="13.5" customHeight="1">
      <c r="A249" s="477">
        <v>239</v>
      </c>
      <c r="B249" s="478" t="s">
        <v>246</v>
      </c>
      <c r="C249" s="378" t="s">
        <v>366</v>
      </c>
      <c r="D249" s="387">
        <f>VLOOKUP(A249,'Evento Cotiz'!$W$49:$Y$455,3,FALSE)</f>
        <v>0</v>
      </c>
      <c r="E249" s="422">
        <f>VLOOKUP(A249,'Evento Cotiz'!$A$49:$T$459,12,FALSE)</f>
        <v>4017.1327999999999</v>
      </c>
      <c r="F249" s="427">
        <f>VLOOKUP(A249,'Evento Cotiz'!$A$49:$T$459,13,FALSE)</f>
        <v>825.06399999999996</v>
      </c>
      <c r="G249" s="428">
        <f>Tabla1[[#This Row],[Cantidad]]*Tabla1[[#This Row],[P Piso]]</f>
        <v>0</v>
      </c>
      <c r="H249" s="433">
        <f>Tabla1[[#This Row],[P Piso]]-(Tabla1[[#This Row],[P Piso]]*20%)</f>
        <v>660.05119999999999</v>
      </c>
      <c r="I249" s="434">
        <f>IF((1-(Tabla1[[#This Row],[P Piso-20%]]/Tabla1[[#This Row],[P Oferta]]))=1,0,1-(Tabla1[[#This Row],[P Piso-20%]]/Tabla1[[#This Row],[P Oferta]]))</f>
        <v>0.83569096844396085</v>
      </c>
      <c r="J249" s="439">
        <f>Tabla1[[#This Row],[P Piso]]-(Tabla1[[#This Row],[P Piso]]*25%)</f>
        <v>618.798</v>
      </c>
      <c r="K249" s="440">
        <f>IF((1-(Tabla1[[#This Row],[P Piso-25%]]/Tabla1[[#This Row],[P Oferta]]))=1,0,1-(Tabla1[[#This Row],[P Piso-25%]]/Tabla1[[#This Row],[P Oferta]]))</f>
        <v>0.84596028291621328</v>
      </c>
      <c r="L249" s="379"/>
      <c r="M249" s="469">
        <v>245</v>
      </c>
      <c r="N249" s="473"/>
      <c r="O249" s="473"/>
      <c r="P249" s="474"/>
      <c r="Q249" s="381"/>
      <c r="R249" s="380"/>
      <c r="S249" s="381"/>
      <c r="T249" s="106"/>
      <c r="W249" s="377">
        <v>0</v>
      </c>
    </row>
    <row r="250" spans="1:23" ht="13.5" customHeight="1">
      <c r="A250" s="477">
        <v>240</v>
      </c>
      <c r="B250" s="478" t="s">
        <v>246</v>
      </c>
      <c r="C250" s="378" t="s">
        <v>365</v>
      </c>
      <c r="D250" s="387">
        <f>VLOOKUP(A250,'Evento Cotiz'!$W$49:$Y$455,3,FALSE)</f>
        <v>0</v>
      </c>
      <c r="E250" s="422">
        <f>VLOOKUP(A250,'Evento Cotiz'!$A$49:$T$459,12,FALSE)</f>
        <v>26305.881600000001</v>
      </c>
      <c r="F250" s="427">
        <f>VLOOKUP(A250,'Evento Cotiz'!$A$49:$T$459,13,FALSE)</f>
        <v>825.06399999999996</v>
      </c>
      <c r="G250" s="428">
        <f>Tabla1[[#This Row],[Cantidad]]*Tabla1[[#This Row],[P Piso]]</f>
        <v>0</v>
      </c>
      <c r="H250" s="433">
        <f>Tabla1[[#This Row],[P Piso]]-(Tabla1[[#This Row],[P Piso]]*20%)</f>
        <v>660.05119999999999</v>
      </c>
      <c r="I250" s="434">
        <f>IF((1-(Tabla1[[#This Row],[P Piso-20%]]/Tabla1[[#This Row],[P Oferta]]))=1,0,1-(Tabla1[[#This Row],[P Piso-20%]]/Tabla1[[#This Row],[P Oferta]]))</f>
        <v>0.97490860751080088</v>
      </c>
      <c r="J250" s="439">
        <f>Tabla1[[#This Row],[P Piso]]-(Tabla1[[#This Row],[P Piso]]*25%)</f>
        <v>618.798</v>
      </c>
      <c r="K250" s="440">
        <f>IF((1-(Tabla1[[#This Row],[P Piso-25%]]/Tabla1[[#This Row],[P Oferta]]))=1,0,1-(Tabla1[[#This Row],[P Piso-25%]]/Tabla1[[#This Row],[P Oferta]]))</f>
        <v>0.97647681954137588</v>
      </c>
      <c r="L250" s="379"/>
      <c r="M250" s="469">
        <v>246</v>
      </c>
      <c r="N250" s="473"/>
      <c r="O250" s="473"/>
      <c r="P250" s="474"/>
      <c r="Q250" s="381"/>
      <c r="R250" s="380"/>
      <c r="S250" s="381"/>
      <c r="T250" s="106"/>
      <c r="W250" s="377">
        <v>0</v>
      </c>
    </row>
    <row r="251" spans="1:23" ht="13.5" customHeight="1">
      <c r="A251" s="477">
        <v>241</v>
      </c>
      <c r="B251" s="478" t="s">
        <v>247</v>
      </c>
      <c r="C251" s="378" t="s">
        <v>365</v>
      </c>
      <c r="D251" s="387">
        <f>VLOOKUP(A251,'Evento Cotiz'!$W$49:$Y$455,3,FALSE)</f>
        <v>0</v>
      </c>
      <c r="E251" s="422">
        <f>VLOOKUP(A251,'Evento Cotiz'!$A$49:$T$459,12,FALSE)</f>
        <v>22177.283199999998</v>
      </c>
      <c r="F251" s="427">
        <f>VLOOKUP(A251,'Evento Cotiz'!$A$49:$T$459,13,FALSE)</f>
        <v>7554.5263999999997</v>
      </c>
      <c r="G251" s="428">
        <f>Tabla1[[#This Row],[Cantidad]]*Tabla1[[#This Row],[P Piso]]</f>
        <v>0</v>
      </c>
      <c r="H251" s="433">
        <f>Tabla1[[#This Row],[P Piso]]-(Tabla1[[#This Row],[P Piso]]*20%)</f>
        <v>6043.6211199999998</v>
      </c>
      <c r="I251" s="434">
        <f>IF((1-(Tabla1[[#This Row],[P Piso-20%]]/Tabla1[[#This Row],[P Oferta]]))=1,0,1-(Tabla1[[#This Row],[P Piso-20%]]/Tabla1[[#This Row],[P Oferta]]))</f>
        <v>0.7274859564403271</v>
      </c>
      <c r="J251" s="439">
        <f>Tabla1[[#This Row],[P Piso]]-(Tabla1[[#This Row],[P Piso]]*25%)</f>
        <v>5665.8948</v>
      </c>
      <c r="K251" s="440">
        <f>IF((1-(Tabla1[[#This Row],[P Piso-25%]]/Tabla1[[#This Row],[P Oferta]]))=1,0,1-(Tabla1[[#This Row],[P Piso-25%]]/Tabla1[[#This Row],[P Oferta]]))</f>
        <v>0.74451808416280674</v>
      </c>
      <c r="L251" s="379"/>
      <c r="M251" s="469">
        <v>247</v>
      </c>
      <c r="N251" s="473"/>
      <c r="O251" s="473"/>
      <c r="P251" s="474"/>
      <c r="Q251" s="381"/>
      <c r="R251" s="380"/>
      <c r="S251" s="381"/>
      <c r="T251" s="106"/>
      <c r="W251" s="377">
        <v>0</v>
      </c>
    </row>
    <row r="252" spans="1:23" ht="13.5" customHeight="1">
      <c r="A252" s="477">
        <v>242</v>
      </c>
      <c r="B252" s="478" t="s">
        <v>248</v>
      </c>
      <c r="C252" s="378" t="s">
        <v>365</v>
      </c>
      <c r="D252" s="387">
        <f>VLOOKUP(A252,'Evento Cotiz'!$W$49:$Y$455,3,FALSE)</f>
        <v>0</v>
      </c>
      <c r="E252" s="422">
        <f>VLOOKUP(A252,'Evento Cotiz'!$A$49:$T$459,12,FALSE)</f>
        <v>26157.2608</v>
      </c>
      <c r="F252" s="427">
        <f>VLOOKUP(A252,'Evento Cotiz'!$A$49:$T$459,13,FALSE)</f>
        <v>427.28480000000002</v>
      </c>
      <c r="G252" s="428">
        <f>Tabla1[[#This Row],[Cantidad]]*Tabla1[[#This Row],[P Piso]]</f>
        <v>0</v>
      </c>
      <c r="H252" s="433">
        <f>Tabla1[[#This Row],[P Piso]]-(Tabla1[[#This Row],[P Piso]]*20%)</f>
        <v>341.82784000000004</v>
      </c>
      <c r="I252" s="434">
        <f>IF((1-(Tabla1[[#This Row],[P Piso-20%]]/Tabla1[[#This Row],[P Oferta]]))=1,0,1-(Tabla1[[#This Row],[P Piso-20%]]/Tabla1[[#This Row],[P Oferta]]))</f>
        <v>0.98693181818181819</v>
      </c>
      <c r="J252" s="439">
        <f>Tabla1[[#This Row],[P Piso]]-(Tabla1[[#This Row],[P Piso]]*25%)</f>
        <v>320.46360000000004</v>
      </c>
      <c r="K252" s="440">
        <f>IF((1-(Tabla1[[#This Row],[P Piso-25%]]/Tabla1[[#This Row],[P Oferta]]))=1,0,1-(Tabla1[[#This Row],[P Piso-25%]]/Tabla1[[#This Row],[P Oferta]]))</f>
        <v>0.98774857954545459</v>
      </c>
      <c r="L252" s="379"/>
      <c r="M252" s="469">
        <v>248</v>
      </c>
      <c r="N252" s="473"/>
      <c r="O252" s="473"/>
      <c r="P252" s="474"/>
      <c r="Q252" s="381"/>
      <c r="R252" s="380"/>
      <c r="S252" s="381"/>
      <c r="T252" s="106"/>
      <c r="W252" s="377">
        <v>0</v>
      </c>
    </row>
    <row r="253" spans="1:23" ht="13.5" customHeight="1">
      <c r="A253" s="477">
        <v>243</v>
      </c>
      <c r="B253" s="478" t="s">
        <v>249</v>
      </c>
      <c r="C253" s="378" t="s">
        <v>365</v>
      </c>
      <c r="D253" s="387">
        <f>VLOOKUP(A253,'Evento Cotiz'!$W$49:$Y$455,3,FALSE)</f>
        <v>0</v>
      </c>
      <c r="E253" s="422">
        <f>VLOOKUP(A253,'Evento Cotiz'!$A$49:$T$459,12,FALSE)</f>
        <v>7651.7856000000002</v>
      </c>
      <c r="F253" s="427">
        <f>VLOOKUP(A253,'Evento Cotiz'!$A$49:$T$459,13,FALSE)</f>
        <v>109.28</v>
      </c>
      <c r="G253" s="428">
        <f>Tabla1[[#This Row],[Cantidad]]*Tabla1[[#This Row],[P Piso]]</f>
        <v>0</v>
      </c>
      <c r="H253" s="433">
        <f>Tabla1[[#This Row],[P Piso]]-(Tabla1[[#This Row],[P Piso]]*20%)</f>
        <v>87.424000000000007</v>
      </c>
      <c r="I253" s="434">
        <f>IF((1-(Tabla1[[#This Row],[P Piso-20%]]/Tabla1[[#This Row],[P Oferta]]))=1,0,1-(Tabla1[[#This Row],[P Piso-20%]]/Tabla1[[#This Row],[P Oferta]]))</f>
        <v>0.98857469294487288</v>
      </c>
      <c r="J253" s="439">
        <f>Tabla1[[#This Row],[P Piso]]-(Tabla1[[#This Row],[P Piso]]*25%)</f>
        <v>81.960000000000008</v>
      </c>
      <c r="K253" s="440">
        <f>IF((1-(Tabla1[[#This Row],[P Piso-25%]]/Tabla1[[#This Row],[P Oferta]]))=1,0,1-(Tabla1[[#This Row],[P Piso-25%]]/Tabla1[[#This Row],[P Oferta]]))</f>
        <v>0.98928877463581832</v>
      </c>
      <c r="L253" s="379"/>
      <c r="M253" s="469">
        <v>249</v>
      </c>
      <c r="N253" s="473"/>
      <c r="O253" s="473"/>
      <c r="P253" s="474"/>
      <c r="Q253" s="381"/>
      <c r="R253" s="380"/>
      <c r="S253" s="381"/>
      <c r="T253" s="106"/>
      <c r="W253" s="377">
        <v>0</v>
      </c>
    </row>
    <row r="254" spans="1:23" ht="13.5" customHeight="1">
      <c r="A254" s="477">
        <v>244</v>
      </c>
      <c r="B254" s="478" t="s">
        <v>250</v>
      </c>
      <c r="C254" s="378" t="s">
        <v>365</v>
      </c>
      <c r="D254" s="387">
        <f>VLOOKUP(A254,'Evento Cotiz'!$W$49:$Y$455,3,FALSE)</f>
        <v>0</v>
      </c>
      <c r="E254" s="422">
        <f>VLOOKUP(A254,'Evento Cotiz'!$A$49:$T$459,12,FALSE)</f>
        <v>25119.1008</v>
      </c>
      <c r="F254" s="427">
        <f>VLOOKUP(A254,'Evento Cotiz'!$A$49:$T$459,13,FALSE)</f>
        <v>6427.8495999999996</v>
      </c>
      <c r="G254" s="428">
        <f>Tabla1[[#This Row],[Cantidad]]*Tabla1[[#This Row],[P Piso]]</f>
        <v>0</v>
      </c>
      <c r="H254" s="433">
        <f>Tabla1[[#This Row],[P Piso]]-(Tabla1[[#This Row],[P Piso]]*20%)</f>
        <v>5142.2796799999996</v>
      </c>
      <c r="I254" s="434">
        <f>IF((1-(Tabla1[[#This Row],[P Piso-20%]]/Tabla1[[#This Row],[P Oferta]]))=1,0,1-(Tabla1[[#This Row],[P Piso-20%]]/Tabla1[[#This Row],[P Oferta]]))</f>
        <v>0.79528408596537026</v>
      </c>
      <c r="J254" s="439">
        <f>Tabla1[[#This Row],[P Piso]]-(Tabla1[[#This Row],[P Piso]]*25%)</f>
        <v>4820.8871999999992</v>
      </c>
      <c r="K254" s="440">
        <f>IF((1-(Tabla1[[#This Row],[P Piso-25%]]/Tabla1[[#This Row],[P Oferta]]))=1,0,1-(Tabla1[[#This Row],[P Piso-25%]]/Tabla1[[#This Row],[P Oferta]]))</f>
        <v>0.8080788305925346</v>
      </c>
      <c r="L254" s="379"/>
      <c r="M254" s="469">
        <v>250</v>
      </c>
      <c r="N254" s="473"/>
      <c r="O254" s="473"/>
      <c r="P254" s="474"/>
      <c r="Q254" s="381"/>
      <c r="R254" s="380"/>
      <c r="S254" s="381"/>
      <c r="T254" s="106"/>
      <c r="W254" s="377">
        <v>0</v>
      </c>
    </row>
    <row r="255" spans="1:23" ht="13.5" customHeight="1">
      <c r="A255" s="477">
        <v>245</v>
      </c>
      <c r="B255" s="478" t="s">
        <v>251</v>
      </c>
      <c r="C255" s="378" t="s">
        <v>365</v>
      </c>
      <c r="D255" s="387">
        <f>VLOOKUP(A255,'Evento Cotiz'!$W$49:$Y$455,3,FALSE)</f>
        <v>0</v>
      </c>
      <c r="E255" s="422">
        <f>VLOOKUP(A255,'Evento Cotiz'!$A$49:$T$459,12,FALSE)</f>
        <v>71808.980800000005</v>
      </c>
      <c r="F255" s="427">
        <f>VLOOKUP(A255,'Evento Cotiz'!$A$49:$T$459,13,FALSE)</f>
        <v>8414.56</v>
      </c>
      <c r="G255" s="428">
        <f>Tabla1[[#This Row],[Cantidad]]*Tabla1[[#This Row],[P Piso]]</f>
        <v>0</v>
      </c>
      <c r="H255" s="433">
        <f>Tabla1[[#This Row],[P Piso]]-(Tabla1[[#This Row],[P Piso]]*20%)</f>
        <v>6731.6479999999992</v>
      </c>
      <c r="I255" s="434">
        <f>IF((1-(Tabla1[[#This Row],[P Piso-20%]]/Tabla1[[#This Row],[P Oferta]]))=1,0,1-(Tabla1[[#This Row],[P Piso-20%]]/Tabla1[[#This Row],[P Oferta]]))</f>
        <v>0.90625618237433614</v>
      </c>
      <c r="J255" s="439">
        <f>Tabla1[[#This Row],[P Piso]]-(Tabla1[[#This Row],[P Piso]]*25%)</f>
        <v>6310.92</v>
      </c>
      <c r="K255" s="440">
        <f>IF((1-(Tabla1[[#This Row],[P Piso-25%]]/Tabla1[[#This Row],[P Oferta]]))=1,0,1-(Tabla1[[#This Row],[P Piso-25%]]/Tabla1[[#This Row],[P Oferta]]))</f>
        <v>0.91211517097594008</v>
      </c>
      <c r="L255" s="379"/>
      <c r="M255" s="469">
        <v>251</v>
      </c>
      <c r="N255" s="473"/>
      <c r="O255" s="473"/>
      <c r="P255" s="474"/>
      <c r="Q255" s="381"/>
      <c r="R255" s="380"/>
      <c r="S255" s="381"/>
      <c r="T255" s="106"/>
      <c r="W255" s="377">
        <v>0</v>
      </c>
    </row>
    <row r="256" spans="1:23" ht="13.5" customHeight="1">
      <c r="A256" s="477">
        <v>246</v>
      </c>
      <c r="B256" s="478" t="s">
        <v>252</v>
      </c>
      <c r="C256" s="378" t="s">
        <v>365</v>
      </c>
      <c r="D256" s="387">
        <f>VLOOKUP(A256,'Evento Cotiz'!$W$49:$Y$455,3,FALSE)</f>
        <v>0</v>
      </c>
      <c r="E256" s="422">
        <f>VLOOKUP(A256,'Evento Cotiz'!$A$49:$T$459,12,FALSE)</f>
        <v>37147.5504</v>
      </c>
      <c r="F256" s="427">
        <f>VLOOKUP(A256,'Evento Cotiz'!$A$49:$T$459,13,FALSE)</f>
        <v>4334.0447999999997</v>
      </c>
      <c r="G256" s="428">
        <f>Tabla1[[#This Row],[Cantidad]]*Tabla1[[#This Row],[P Piso]]</f>
        <v>0</v>
      </c>
      <c r="H256" s="433">
        <f>Tabla1[[#This Row],[P Piso]]-(Tabla1[[#This Row],[P Piso]]*20%)</f>
        <v>3467.2358399999998</v>
      </c>
      <c r="I256" s="434">
        <f>IF((1-(Tabla1[[#This Row],[P Piso-20%]]/Tabla1[[#This Row],[P Oferta]]))=1,0,1-(Tabla1[[#This Row],[P Piso-20%]]/Tabla1[[#This Row],[P Oferta]]))</f>
        <v>0.9066631365281087</v>
      </c>
      <c r="J256" s="439">
        <f>Tabla1[[#This Row],[P Piso]]-(Tabla1[[#This Row],[P Piso]]*25%)</f>
        <v>3250.5335999999998</v>
      </c>
      <c r="K256" s="440">
        <f>IF((1-(Tabla1[[#This Row],[P Piso-25%]]/Tabla1[[#This Row],[P Oferta]]))=1,0,1-(Tabla1[[#This Row],[P Piso-25%]]/Tabla1[[#This Row],[P Oferta]]))</f>
        <v>0.91249669049510196</v>
      </c>
      <c r="L256" s="379"/>
      <c r="M256" s="469">
        <v>252</v>
      </c>
      <c r="N256" s="473"/>
      <c r="O256" s="473"/>
      <c r="P256" s="474"/>
      <c r="Q256" s="381"/>
      <c r="R256" s="380"/>
      <c r="S256" s="381"/>
      <c r="T256" s="106"/>
      <c r="W256" s="377">
        <v>0</v>
      </c>
    </row>
    <row r="257" spans="1:23" ht="13.5" customHeight="1">
      <c r="A257" s="477">
        <v>247</v>
      </c>
      <c r="B257" s="478" t="s">
        <v>253</v>
      </c>
      <c r="C257" s="378" t="s">
        <v>365</v>
      </c>
      <c r="D257" s="387">
        <f>VLOOKUP(A257,'Evento Cotiz'!$W$49:$Y$455,3,FALSE)</f>
        <v>0</v>
      </c>
      <c r="E257" s="422">
        <f>VLOOKUP(A257,'Evento Cotiz'!$A$49:$T$459,12,FALSE)</f>
        <v>88733.174400000004</v>
      </c>
      <c r="F257" s="427">
        <f>VLOOKUP(A257,'Evento Cotiz'!$A$49:$T$459,13,FALSE)</f>
        <v>8414.56</v>
      </c>
      <c r="G257" s="428">
        <f>Tabla1[[#This Row],[Cantidad]]*Tabla1[[#This Row],[P Piso]]</f>
        <v>0</v>
      </c>
      <c r="H257" s="433">
        <f>Tabla1[[#This Row],[P Piso]]-(Tabla1[[#This Row],[P Piso]]*20%)</f>
        <v>6731.6479999999992</v>
      </c>
      <c r="I257" s="434">
        <f>IF((1-(Tabla1[[#This Row],[P Piso-20%]]/Tabla1[[#This Row],[P Oferta]]))=1,0,1-(Tabla1[[#This Row],[P Piso-20%]]/Tabla1[[#This Row],[P Oferta]]))</f>
        <v>0.92413606246459268</v>
      </c>
      <c r="J257" s="439">
        <f>Tabla1[[#This Row],[P Piso]]-(Tabla1[[#This Row],[P Piso]]*25%)</f>
        <v>6310.92</v>
      </c>
      <c r="K257" s="440">
        <f>IF((1-(Tabla1[[#This Row],[P Piso-25%]]/Tabla1[[#This Row],[P Oferta]]))=1,0,1-(Tabla1[[#This Row],[P Piso-25%]]/Tabla1[[#This Row],[P Oferta]]))</f>
        <v>0.92887755856055565</v>
      </c>
      <c r="L257" s="379"/>
      <c r="M257" s="469">
        <v>253</v>
      </c>
      <c r="N257" s="473"/>
      <c r="O257" s="473"/>
      <c r="P257" s="474"/>
      <c r="Q257" s="381"/>
      <c r="R257" s="380"/>
      <c r="S257" s="381"/>
      <c r="T257" s="106"/>
      <c r="W257" s="377">
        <v>0</v>
      </c>
    </row>
    <row r="258" spans="1:23" ht="13.5" customHeight="1">
      <c r="A258" s="477">
        <v>248</v>
      </c>
      <c r="B258" s="478" t="s">
        <v>254</v>
      </c>
      <c r="C258" s="378" t="s">
        <v>366</v>
      </c>
      <c r="D258" s="387">
        <f>VLOOKUP(A258,'Evento Cotiz'!$W$49:$Y$455,3,FALSE)</f>
        <v>0</v>
      </c>
      <c r="E258" s="422">
        <f>VLOOKUP(A258,'Evento Cotiz'!$A$49:$T$459,12,FALSE)</f>
        <v>1607.5088000000001</v>
      </c>
      <c r="F258" s="427">
        <f>VLOOKUP(A258,'Evento Cotiz'!$A$49:$T$459,13,FALSE)</f>
        <v>377.01600000000002</v>
      </c>
      <c r="G258" s="428">
        <f>Tabla1[[#This Row],[Cantidad]]*Tabla1[[#This Row],[P Piso]]</f>
        <v>0</v>
      </c>
      <c r="H258" s="433">
        <f>Tabla1[[#This Row],[P Piso]]-(Tabla1[[#This Row],[P Piso]]*20%)</f>
        <v>301.61279999999999</v>
      </c>
      <c r="I258" s="434">
        <f>IF((1-(Tabla1[[#This Row],[P Piso-20%]]/Tabla1[[#This Row],[P Oferta]]))=1,0,1-(Tabla1[[#This Row],[P Piso-20%]]/Tabla1[[#This Row],[P Oferta]]))</f>
        <v>0.81237253569000678</v>
      </c>
      <c r="J258" s="439">
        <f>Tabla1[[#This Row],[P Piso]]-(Tabla1[[#This Row],[P Piso]]*25%)</f>
        <v>282.762</v>
      </c>
      <c r="K258" s="440">
        <f>IF((1-(Tabla1[[#This Row],[P Piso-25%]]/Tabla1[[#This Row],[P Oferta]]))=1,0,1-(Tabla1[[#This Row],[P Piso-25%]]/Tabla1[[#This Row],[P Oferta]]))</f>
        <v>0.82409925220938141</v>
      </c>
      <c r="L258" s="379"/>
      <c r="M258" s="469">
        <v>254</v>
      </c>
      <c r="N258" s="473"/>
      <c r="O258" s="473"/>
      <c r="P258" s="474"/>
      <c r="Q258" s="381"/>
      <c r="R258" s="380"/>
      <c r="S258" s="381"/>
      <c r="T258" s="106"/>
      <c r="W258" s="377">
        <v>0</v>
      </c>
    </row>
    <row r="259" spans="1:23" ht="13.5" customHeight="1">
      <c r="A259" s="477">
        <v>250</v>
      </c>
      <c r="B259" s="478" t="s">
        <v>255</v>
      </c>
      <c r="C259" s="378" t="s">
        <v>365</v>
      </c>
      <c r="D259" s="387">
        <f>VLOOKUP(A259,'Evento Cotiz'!$W$49:$Y$455,3,FALSE)</f>
        <v>0</v>
      </c>
      <c r="E259" s="422">
        <f>VLOOKUP(A259,'Evento Cotiz'!$A$49:$T$459,12,FALSE)</f>
        <v>4314.3743999999997</v>
      </c>
      <c r="F259" s="427">
        <f>VLOOKUP(A259,'Evento Cotiz'!$A$49:$T$459,13,FALSE)</f>
        <v>160.64160000000001</v>
      </c>
      <c r="G259" s="428">
        <f>Tabla1[[#This Row],[Cantidad]]*Tabla1[[#This Row],[P Piso]]</f>
        <v>0</v>
      </c>
      <c r="H259" s="433">
        <f>Tabla1[[#This Row],[P Piso]]-(Tabla1[[#This Row],[P Piso]]*20%)</f>
        <v>128.51328000000001</v>
      </c>
      <c r="I259" s="434">
        <f>IF((1-(Tabla1[[#This Row],[P Piso-20%]]/Tabla1[[#This Row],[P Oferta]]))=1,0,1-(Tabla1[[#This Row],[P Piso-20%]]/Tabla1[[#This Row],[P Oferta]]))</f>
        <v>0.97021276595744677</v>
      </c>
      <c r="J259" s="439">
        <f>Tabla1[[#This Row],[P Piso]]-(Tabla1[[#This Row],[P Piso]]*25%)</f>
        <v>120.4812</v>
      </c>
      <c r="K259" s="440">
        <f>IF((1-(Tabla1[[#This Row],[P Piso-25%]]/Tabla1[[#This Row],[P Oferta]]))=1,0,1-(Tabla1[[#This Row],[P Piso-25%]]/Tabla1[[#This Row],[P Oferta]]))</f>
        <v>0.97207446808510634</v>
      </c>
      <c r="L259" s="379"/>
      <c r="M259" s="469">
        <v>255</v>
      </c>
      <c r="N259" s="473"/>
      <c r="O259" s="473"/>
      <c r="P259" s="474"/>
      <c r="Q259" s="381"/>
      <c r="R259" s="380"/>
      <c r="S259" s="381"/>
      <c r="T259" s="106"/>
      <c r="W259" s="377">
        <v>0</v>
      </c>
    </row>
    <row r="260" spans="1:23" ht="13.5" customHeight="1">
      <c r="A260" s="477">
        <v>251</v>
      </c>
      <c r="B260" s="478" t="s">
        <v>256</v>
      </c>
      <c r="C260" s="378" t="s">
        <v>365</v>
      </c>
      <c r="D260" s="387">
        <f>VLOOKUP(A260,'Evento Cotiz'!$W$49:$Y$455,3,FALSE)</f>
        <v>0</v>
      </c>
      <c r="E260" s="422">
        <f>VLOOKUP(A260,'Evento Cotiz'!$A$49:$T$459,12,FALSE)</f>
        <v>5426.8447999999999</v>
      </c>
      <c r="F260" s="427">
        <f>VLOOKUP(A260,'Evento Cotiz'!$A$49:$T$459,13,FALSE)</f>
        <v>180.31200000000001</v>
      </c>
      <c r="G260" s="428">
        <f>Tabla1[[#This Row],[Cantidad]]*Tabla1[[#This Row],[P Piso]]</f>
        <v>0</v>
      </c>
      <c r="H260" s="433">
        <f>Tabla1[[#This Row],[P Piso]]-(Tabla1[[#This Row],[P Piso]]*20%)</f>
        <v>144.24960000000002</v>
      </c>
      <c r="I260" s="434">
        <f>IF((1-(Tabla1[[#This Row],[P Piso-20%]]/Tabla1[[#This Row],[P Oferta]]))=1,0,1-(Tabla1[[#This Row],[P Piso-20%]]/Tabla1[[#This Row],[P Oferta]]))</f>
        <v>0.97341925090616188</v>
      </c>
      <c r="J260" s="439">
        <f>Tabla1[[#This Row],[P Piso]]-(Tabla1[[#This Row],[P Piso]]*25%)</f>
        <v>135.23400000000001</v>
      </c>
      <c r="K260" s="440">
        <f>IF((1-(Tabla1[[#This Row],[P Piso-25%]]/Tabla1[[#This Row],[P Oferta]]))=1,0,1-(Tabla1[[#This Row],[P Piso-25%]]/Tabla1[[#This Row],[P Oferta]]))</f>
        <v>0.97508054772452679</v>
      </c>
      <c r="L260" s="379"/>
      <c r="M260" s="469">
        <v>256</v>
      </c>
      <c r="N260" s="473"/>
      <c r="O260" s="473"/>
      <c r="P260" s="474"/>
      <c r="Q260" s="381"/>
      <c r="R260" s="380"/>
      <c r="S260" s="381"/>
      <c r="T260" s="106"/>
      <c r="W260" s="377">
        <v>0</v>
      </c>
    </row>
    <row r="261" spans="1:23" ht="13.5" customHeight="1">
      <c r="A261" s="477">
        <v>252</v>
      </c>
      <c r="B261" s="478" t="s">
        <v>239</v>
      </c>
      <c r="C261" s="378" t="s">
        <v>366</v>
      </c>
      <c r="D261" s="387">
        <f>VLOOKUP(A261,'Evento Cotiz'!$W$49:$Y$455,3,FALSE)</f>
        <v>0</v>
      </c>
      <c r="E261" s="422">
        <f>VLOOKUP(A261,'Evento Cotiz'!$A$49:$T$459,12,FALSE)</f>
        <v>1680.7264</v>
      </c>
      <c r="F261" s="427">
        <f>VLOOKUP(A261,'Evento Cotiz'!$A$49:$T$459,13,FALSE)</f>
        <v>535.47199999999998</v>
      </c>
      <c r="G261" s="428">
        <f>Tabla1[[#This Row],[Cantidad]]*Tabla1[[#This Row],[P Piso]]</f>
        <v>0</v>
      </c>
      <c r="H261" s="433">
        <f>Tabla1[[#This Row],[P Piso]]-(Tabla1[[#This Row],[P Piso]]*20%)</f>
        <v>428.37759999999997</v>
      </c>
      <c r="I261" s="434">
        <f>IF((1-(Tabla1[[#This Row],[P Piso-20%]]/Tabla1[[#This Row],[P Oferta]]))=1,0,1-(Tabla1[[#This Row],[P Piso-20%]]/Tabla1[[#This Row],[P Oferta]]))</f>
        <v>0.74512353706111834</v>
      </c>
      <c r="J261" s="439">
        <f>Tabla1[[#This Row],[P Piso]]-(Tabla1[[#This Row],[P Piso]]*25%)</f>
        <v>401.60399999999998</v>
      </c>
      <c r="K261" s="440">
        <f>IF((1-(Tabla1[[#This Row],[P Piso-25%]]/Tabla1[[#This Row],[P Oferta]]))=1,0,1-(Tabla1[[#This Row],[P Piso-25%]]/Tabla1[[#This Row],[P Oferta]]))</f>
        <v>0.76105331599479842</v>
      </c>
      <c r="L261" s="379"/>
      <c r="M261" s="469">
        <v>257</v>
      </c>
      <c r="N261" s="473"/>
      <c r="O261" s="473"/>
      <c r="P261" s="474"/>
      <c r="Q261" s="381"/>
      <c r="R261" s="380"/>
      <c r="S261" s="381"/>
      <c r="T261" s="106"/>
      <c r="W261" s="377">
        <v>0</v>
      </c>
    </row>
    <row r="262" spans="1:23" ht="13.5" customHeight="1">
      <c r="A262" s="477">
        <v>253</v>
      </c>
      <c r="B262" s="478" t="s">
        <v>239</v>
      </c>
      <c r="C262" s="378" t="s">
        <v>365</v>
      </c>
      <c r="D262" s="387">
        <f>VLOOKUP(A262,'Evento Cotiz'!$W$49:$Y$455,3,FALSE)</f>
        <v>0</v>
      </c>
      <c r="E262" s="422">
        <f>VLOOKUP(A262,'Evento Cotiz'!$A$49:$T$459,12,FALSE)</f>
        <v>10198.009599999999</v>
      </c>
      <c r="F262" s="427">
        <f>VLOOKUP(A262,'Evento Cotiz'!$A$49:$T$459,13,FALSE)</f>
        <v>684.09280000000001</v>
      </c>
      <c r="G262" s="428">
        <f>Tabla1[[#This Row],[Cantidad]]*Tabla1[[#This Row],[P Piso]]</f>
        <v>0</v>
      </c>
      <c r="H262" s="433">
        <f>Tabla1[[#This Row],[P Piso]]-(Tabla1[[#This Row],[P Piso]]*20%)</f>
        <v>547.27423999999996</v>
      </c>
      <c r="I262" s="434">
        <f>IF((1-(Tabla1[[#This Row],[P Piso-20%]]/Tabla1[[#This Row],[P Oferta]]))=1,0,1-(Tabla1[[#This Row],[P Piso-20%]]/Tabla1[[#This Row],[P Oferta]]))</f>
        <v>0.94633519074153449</v>
      </c>
      <c r="J262" s="439">
        <f>Tabla1[[#This Row],[P Piso]]-(Tabla1[[#This Row],[P Piso]]*25%)</f>
        <v>513.06960000000004</v>
      </c>
      <c r="K262" s="440">
        <f>IF((1-(Tabla1[[#This Row],[P Piso-25%]]/Tabla1[[#This Row],[P Oferta]]))=1,0,1-(Tabla1[[#This Row],[P Piso-25%]]/Tabla1[[#This Row],[P Oferta]]))</f>
        <v>0.94968924132018862</v>
      </c>
      <c r="L262" s="379"/>
      <c r="M262" s="469">
        <v>258</v>
      </c>
      <c r="N262" s="473"/>
      <c r="O262" s="473"/>
      <c r="P262" s="474"/>
      <c r="Q262" s="381"/>
      <c r="R262" s="380"/>
      <c r="S262" s="381"/>
      <c r="T262" s="106"/>
      <c r="W262" s="377">
        <v>0</v>
      </c>
    </row>
    <row r="263" spans="1:23" ht="13.5" customHeight="1">
      <c r="A263" s="477">
        <v>254</v>
      </c>
      <c r="B263" s="478" t="s">
        <v>257</v>
      </c>
      <c r="C263" s="378" t="s">
        <v>366</v>
      </c>
      <c r="D263" s="387">
        <f>VLOOKUP(A263,'Evento Cotiz'!$W$49:$Y$455,3,FALSE)</f>
        <v>0</v>
      </c>
      <c r="E263" s="422">
        <f>VLOOKUP(A263,'Evento Cotiz'!$A$49:$T$459,12,FALSE)</f>
        <v>3621.5392000000002</v>
      </c>
      <c r="F263" s="427">
        <f>VLOOKUP(A263,'Evento Cotiz'!$A$49:$T$459,13,FALSE)</f>
        <v>526.7296</v>
      </c>
      <c r="G263" s="428">
        <f>Tabla1[[#This Row],[Cantidad]]*Tabla1[[#This Row],[P Piso]]</f>
        <v>0</v>
      </c>
      <c r="H263" s="433">
        <f>Tabla1[[#This Row],[P Piso]]-(Tabla1[[#This Row],[P Piso]]*20%)</f>
        <v>421.38368000000003</v>
      </c>
      <c r="I263" s="434">
        <f>IF((1-(Tabla1[[#This Row],[P Piso-20%]]/Tabla1[[#This Row],[P Oferta]]))=1,0,1-(Tabla1[[#This Row],[P Piso-20%]]/Tabla1[[#This Row],[P Oferta]]))</f>
        <v>0.88364514182257092</v>
      </c>
      <c r="J263" s="439">
        <f>Tabla1[[#This Row],[P Piso]]-(Tabla1[[#This Row],[P Piso]]*25%)</f>
        <v>395.04719999999998</v>
      </c>
      <c r="K263" s="440">
        <f>IF((1-(Tabla1[[#This Row],[P Piso-25%]]/Tabla1[[#This Row],[P Oferta]]))=1,0,1-(Tabla1[[#This Row],[P Piso-25%]]/Tabla1[[#This Row],[P Oferta]]))</f>
        <v>0.89091732045866023</v>
      </c>
      <c r="L263" s="379"/>
      <c r="M263" s="469">
        <v>259</v>
      </c>
      <c r="N263" s="473"/>
      <c r="O263" s="473"/>
      <c r="P263" s="474"/>
      <c r="Q263" s="381"/>
      <c r="R263" s="380"/>
      <c r="S263" s="381"/>
      <c r="T263" s="106"/>
      <c r="W263" s="377">
        <v>0</v>
      </c>
    </row>
    <row r="264" spans="1:23" ht="13.5" customHeight="1">
      <c r="A264" s="477">
        <v>255</v>
      </c>
      <c r="B264" s="478" t="s">
        <v>257</v>
      </c>
      <c r="C264" s="378" t="s">
        <v>365</v>
      </c>
      <c r="D264" s="387">
        <f>VLOOKUP(A264,'Evento Cotiz'!$W$49:$Y$455,3,FALSE)</f>
        <v>0</v>
      </c>
      <c r="E264" s="422">
        <f>VLOOKUP(A264,'Evento Cotiz'!$A$49:$T$459,12,FALSE)</f>
        <v>21311.785599999999</v>
      </c>
      <c r="F264" s="427">
        <f>VLOOKUP(A264,'Evento Cotiz'!$A$49:$T$459,13,FALSE)</f>
        <v>526.7296</v>
      </c>
      <c r="G264" s="428">
        <f>Tabla1[[#This Row],[Cantidad]]*Tabla1[[#This Row],[P Piso]]</f>
        <v>0</v>
      </c>
      <c r="H264" s="433">
        <f>Tabla1[[#This Row],[P Piso]]-(Tabla1[[#This Row],[P Piso]]*20%)</f>
        <v>421.38368000000003</v>
      </c>
      <c r="I264" s="434">
        <f>IF((1-(Tabla1[[#This Row],[P Piso-20%]]/Tabla1[[#This Row],[P Oferta]]))=1,0,1-(Tabla1[[#This Row],[P Piso-20%]]/Tabla1[[#This Row],[P Oferta]]))</f>
        <v>0.98022766895703006</v>
      </c>
      <c r="J264" s="439">
        <f>Tabla1[[#This Row],[P Piso]]-(Tabla1[[#This Row],[P Piso]]*25%)</f>
        <v>395.04719999999998</v>
      </c>
      <c r="K264" s="440">
        <f>IF((1-(Tabla1[[#This Row],[P Piso-25%]]/Tabla1[[#This Row],[P Oferta]]))=1,0,1-(Tabla1[[#This Row],[P Piso-25%]]/Tabla1[[#This Row],[P Oferta]]))</f>
        <v>0.98146343964721572</v>
      </c>
      <c r="L264" s="379"/>
      <c r="M264" s="469">
        <v>260</v>
      </c>
      <c r="N264" s="473"/>
      <c r="O264" s="473"/>
      <c r="P264" s="474"/>
      <c r="Q264" s="381"/>
      <c r="R264" s="380"/>
      <c r="S264" s="381"/>
      <c r="T264" s="106"/>
      <c r="W264" s="377">
        <v>0</v>
      </c>
    </row>
    <row r="265" spans="1:23" ht="13.5" customHeight="1">
      <c r="A265" s="477">
        <v>256</v>
      </c>
      <c r="B265" s="478" t="s">
        <v>258</v>
      </c>
      <c r="C265" s="378" t="s">
        <v>366</v>
      </c>
      <c r="D265" s="387">
        <f>VLOOKUP(A265,'Evento Cotiz'!$W$49:$Y$455,3,FALSE)</f>
        <v>0</v>
      </c>
      <c r="E265" s="422">
        <f>VLOOKUP(A265,'Evento Cotiz'!$A$49:$T$459,12,FALSE)</f>
        <v>50534.350399999996</v>
      </c>
      <c r="F265" s="427">
        <f>VLOOKUP(A265,'Evento Cotiz'!$A$49:$T$459,13,FALSE)</f>
        <v>6273.7647999999999</v>
      </c>
      <c r="G265" s="428">
        <f>Tabla1[[#This Row],[Cantidad]]*Tabla1[[#This Row],[P Piso]]</f>
        <v>0</v>
      </c>
      <c r="H265" s="433">
        <f>Tabla1[[#This Row],[P Piso]]-(Tabla1[[#This Row],[P Piso]]*20%)</f>
        <v>5019.0118400000001</v>
      </c>
      <c r="I265" s="434">
        <f>IF((1-(Tabla1[[#This Row],[P Piso-20%]]/Tabla1[[#This Row],[P Oferta]]))=1,0,1-(Tabla1[[#This Row],[P Piso-20%]]/Tabla1[[#This Row],[P Oferta]]))</f>
        <v>0.90068118417922716</v>
      </c>
      <c r="J265" s="439">
        <f>Tabla1[[#This Row],[P Piso]]-(Tabla1[[#This Row],[P Piso]]*25%)</f>
        <v>4705.3235999999997</v>
      </c>
      <c r="K265" s="440">
        <f>IF((1-(Tabla1[[#This Row],[P Piso-25%]]/Tabla1[[#This Row],[P Oferta]]))=1,0,1-(Tabla1[[#This Row],[P Piso-25%]]/Tabla1[[#This Row],[P Oferta]]))</f>
        <v>0.90688861016802547</v>
      </c>
      <c r="L265" s="379"/>
      <c r="M265" s="469">
        <v>261</v>
      </c>
      <c r="N265" s="473"/>
      <c r="O265" s="473"/>
      <c r="P265" s="474"/>
      <c r="Q265" s="381"/>
      <c r="R265" s="380"/>
      <c r="S265" s="381"/>
      <c r="T265" s="106"/>
      <c r="W265" s="377">
        <v>0</v>
      </c>
    </row>
    <row r="266" spans="1:23" ht="13.5" customHeight="1">
      <c r="A266" s="477">
        <v>257</v>
      </c>
      <c r="B266" s="478" t="s">
        <v>258</v>
      </c>
      <c r="C266" s="378" t="s">
        <v>365</v>
      </c>
      <c r="D266" s="387">
        <f>VLOOKUP(A266,'Evento Cotiz'!$W$49:$Y$455,3,FALSE)</f>
        <v>0</v>
      </c>
      <c r="E266" s="422">
        <f>VLOOKUP(A266,'Evento Cotiz'!$A$49:$T$459,12,FALSE)</f>
        <v>302183.24160000001</v>
      </c>
      <c r="F266" s="427">
        <f>VLOOKUP(A266,'Evento Cotiz'!$A$49:$T$459,13,FALSE)</f>
        <v>6273.7647999999999</v>
      </c>
      <c r="G266" s="428">
        <f>Tabla1[[#This Row],[Cantidad]]*Tabla1[[#This Row],[P Piso]]</f>
        <v>0</v>
      </c>
      <c r="H266" s="433">
        <f>Tabla1[[#This Row],[P Piso]]-(Tabla1[[#This Row],[P Piso]]*20%)</f>
        <v>5019.0118400000001</v>
      </c>
      <c r="I266" s="434">
        <f>IF((1-(Tabla1[[#This Row],[P Piso-20%]]/Tabla1[[#This Row],[P Oferta]]))=1,0,1-(Tabla1[[#This Row],[P Piso-20%]]/Tabla1[[#This Row],[P Oferta]]))</f>
        <v>0.98339083327908805</v>
      </c>
      <c r="J266" s="439">
        <f>Tabla1[[#This Row],[P Piso]]-(Tabla1[[#This Row],[P Piso]]*25%)</f>
        <v>4705.3235999999997</v>
      </c>
      <c r="K266" s="440">
        <f>IF((1-(Tabla1[[#This Row],[P Piso-25%]]/Tabla1[[#This Row],[P Oferta]]))=1,0,1-(Tabla1[[#This Row],[P Piso-25%]]/Tabla1[[#This Row],[P Oferta]]))</f>
        <v>0.98442890619914514</v>
      </c>
      <c r="L266" s="379"/>
      <c r="M266" s="469">
        <v>262</v>
      </c>
      <c r="N266" s="473"/>
      <c r="O266" s="473"/>
      <c r="P266" s="474"/>
      <c r="Q266" s="381"/>
      <c r="R266" s="380"/>
      <c r="S266" s="381"/>
      <c r="T266" s="106"/>
      <c r="W266" s="377">
        <v>0</v>
      </c>
    </row>
    <row r="267" spans="1:23" ht="13.5" customHeight="1">
      <c r="A267" s="477">
        <v>258</v>
      </c>
      <c r="B267" s="478" t="s">
        <v>242</v>
      </c>
      <c r="C267" s="378" t="s">
        <v>366</v>
      </c>
      <c r="D267" s="387">
        <f>VLOOKUP(A267,'Evento Cotiz'!$W$49:$Y$455,3,FALSE)</f>
        <v>0</v>
      </c>
      <c r="E267" s="422">
        <f>VLOOKUP(A267,'Evento Cotiz'!$A$49:$T$459,12,FALSE)</f>
        <v>73984.745599999995</v>
      </c>
      <c r="F267" s="427">
        <f>VLOOKUP(A267,'Evento Cotiz'!$A$49:$T$459,13,FALSE)</f>
        <v>4629.1008000000002</v>
      </c>
      <c r="G267" s="428">
        <f>Tabla1[[#This Row],[Cantidad]]*Tabla1[[#This Row],[P Piso]]</f>
        <v>0</v>
      </c>
      <c r="H267" s="433">
        <f>Tabla1[[#This Row],[P Piso]]-(Tabla1[[#This Row],[P Piso]]*20%)</f>
        <v>3703.2806399999999</v>
      </c>
      <c r="I267" s="434">
        <f>IF((1-(Tabla1[[#This Row],[P Piso-20%]]/Tabla1[[#This Row],[P Oferta]]))=1,0,1-(Tabla1[[#This Row],[P Piso-20%]]/Tabla1[[#This Row],[P Oferta]]))</f>
        <v>0.94994534873415848</v>
      </c>
      <c r="J267" s="439">
        <f>Tabla1[[#This Row],[P Piso]]-(Tabla1[[#This Row],[P Piso]]*25%)</f>
        <v>3471.8256000000001</v>
      </c>
      <c r="K267" s="440">
        <f>IF((1-(Tabla1[[#This Row],[P Piso-25%]]/Tabla1[[#This Row],[P Oferta]]))=1,0,1-(Tabla1[[#This Row],[P Piso-25%]]/Tabla1[[#This Row],[P Oferta]]))</f>
        <v>0.95307376443827363</v>
      </c>
      <c r="L267" s="379"/>
      <c r="M267" s="469">
        <v>263</v>
      </c>
      <c r="N267" s="473"/>
      <c r="O267" s="473"/>
      <c r="P267" s="474"/>
      <c r="Q267" s="381"/>
      <c r="R267" s="380"/>
      <c r="S267" s="381"/>
      <c r="T267" s="106"/>
      <c r="W267" s="377">
        <v>0</v>
      </c>
    </row>
    <row r="268" spans="1:23" ht="13.5" customHeight="1">
      <c r="A268" s="477">
        <v>259</v>
      </c>
      <c r="B268" s="478" t="s">
        <v>242</v>
      </c>
      <c r="C268" s="378" t="s">
        <v>365</v>
      </c>
      <c r="D268" s="387">
        <f>VLOOKUP(A268,'Evento Cotiz'!$W$49:$Y$455,3,FALSE)</f>
        <v>0</v>
      </c>
      <c r="E268" s="422">
        <f>VLOOKUP(A268,'Evento Cotiz'!$A$49:$T$459,12,FALSE)</f>
        <v>408766.21120000002</v>
      </c>
      <c r="F268" s="427">
        <f>VLOOKUP(A268,'Evento Cotiz'!$A$49:$T$459,13,FALSE)</f>
        <v>11819.7248</v>
      </c>
      <c r="G268" s="428">
        <f>Tabla1[[#This Row],[Cantidad]]*Tabla1[[#This Row],[P Piso]]</f>
        <v>0</v>
      </c>
      <c r="H268" s="433">
        <f>Tabla1[[#This Row],[P Piso]]-(Tabla1[[#This Row],[P Piso]]*20%)</f>
        <v>9455.7798399999992</v>
      </c>
      <c r="I268" s="434">
        <f>IF((1-(Tabla1[[#This Row],[P Piso-20%]]/Tabla1[[#This Row],[P Oferta]]))=1,0,1-(Tabla1[[#This Row],[P Piso-20%]]/Tabla1[[#This Row],[P Oferta]]))</f>
        <v>0.97686751110802184</v>
      </c>
      <c r="J268" s="439">
        <f>Tabla1[[#This Row],[P Piso]]-(Tabla1[[#This Row],[P Piso]]*25%)</f>
        <v>8864.7936000000009</v>
      </c>
      <c r="K268" s="440">
        <f>IF((1-(Tabla1[[#This Row],[P Piso-25%]]/Tabla1[[#This Row],[P Oferta]]))=1,0,1-(Tabla1[[#This Row],[P Piso-25%]]/Tabla1[[#This Row],[P Oferta]]))</f>
        <v>0.97831329166377046</v>
      </c>
      <c r="L268" s="379"/>
      <c r="M268" s="469">
        <v>264</v>
      </c>
      <c r="N268" s="473"/>
      <c r="O268" s="473"/>
      <c r="P268" s="474"/>
      <c r="Q268" s="381"/>
      <c r="R268" s="380"/>
      <c r="S268" s="381"/>
      <c r="T268" s="106"/>
      <c r="W268" s="377">
        <v>0</v>
      </c>
    </row>
    <row r="269" spans="1:23" ht="13.5" customHeight="1">
      <c r="A269" s="477">
        <v>260</v>
      </c>
      <c r="B269" s="478" t="s">
        <v>243</v>
      </c>
      <c r="C269" s="378" t="s">
        <v>366</v>
      </c>
      <c r="D269" s="387">
        <f>VLOOKUP(A269,'Evento Cotiz'!$W$49:$Y$455,3,FALSE)</f>
        <v>0</v>
      </c>
      <c r="E269" s="422">
        <f>VLOOKUP(A269,'Evento Cotiz'!$A$49:$T$459,12,FALSE)</f>
        <v>40620.468800000002</v>
      </c>
      <c r="F269" s="427">
        <f>VLOOKUP(A269,'Evento Cotiz'!$A$49:$T$459,13,FALSE)</f>
        <v>4784.2784000000001</v>
      </c>
      <c r="G269" s="428">
        <f>Tabla1[[#This Row],[Cantidad]]*Tabla1[[#This Row],[P Piso]]</f>
        <v>0</v>
      </c>
      <c r="H269" s="433">
        <f>Tabla1[[#This Row],[P Piso]]-(Tabla1[[#This Row],[P Piso]]*20%)</f>
        <v>3827.42272</v>
      </c>
      <c r="I269" s="434">
        <f>IF((1-(Tabla1[[#This Row],[P Piso-20%]]/Tabla1[[#This Row],[P Oferta]]))=1,0,1-(Tabla1[[#This Row],[P Piso-20%]]/Tabla1[[#This Row],[P Oferta]]))</f>
        <v>0.90577600817841863</v>
      </c>
      <c r="J269" s="439">
        <f>Tabla1[[#This Row],[P Piso]]-(Tabla1[[#This Row],[P Piso]]*25%)</f>
        <v>3588.2088000000003</v>
      </c>
      <c r="K269" s="440">
        <f>IF((1-(Tabla1[[#This Row],[P Piso-25%]]/Tabla1[[#This Row],[P Oferta]]))=1,0,1-(Tabla1[[#This Row],[P Piso-25%]]/Tabla1[[#This Row],[P Oferta]]))</f>
        <v>0.91166500766726744</v>
      </c>
      <c r="L269" s="379"/>
      <c r="M269" s="469">
        <v>265</v>
      </c>
      <c r="N269" s="473"/>
      <c r="O269" s="473"/>
      <c r="P269" s="474"/>
      <c r="Q269" s="381"/>
      <c r="R269" s="380"/>
      <c r="S269" s="381"/>
      <c r="T269" s="106"/>
      <c r="W269" s="377">
        <v>0</v>
      </c>
    </row>
    <row r="270" spans="1:23" ht="13.5" customHeight="1">
      <c r="A270" s="477">
        <v>261</v>
      </c>
      <c r="B270" s="478" t="s">
        <v>243</v>
      </c>
      <c r="C270" s="378" t="s">
        <v>365</v>
      </c>
      <c r="D270" s="387">
        <f>VLOOKUP(A270,'Evento Cotiz'!$W$49:$Y$455,3,FALSE)</f>
        <v>0</v>
      </c>
      <c r="E270" s="422">
        <f>VLOOKUP(A270,'Evento Cotiz'!$A$49:$T$459,12,FALSE)</f>
        <v>201088.31359999999</v>
      </c>
      <c r="F270" s="427">
        <f>VLOOKUP(A270,'Evento Cotiz'!$A$49:$T$459,13,FALSE)</f>
        <v>5909.8624</v>
      </c>
      <c r="G270" s="428">
        <f>Tabla1[[#This Row],[Cantidad]]*Tabla1[[#This Row],[P Piso]]</f>
        <v>0</v>
      </c>
      <c r="H270" s="433">
        <f>Tabla1[[#This Row],[P Piso]]-(Tabla1[[#This Row],[P Piso]]*20%)</f>
        <v>4727.8899199999996</v>
      </c>
      <c r="I270" s="434">
        <f>IF((1-(Tabla1[[#This Row],[P Piso-20%]]/Tabla1[[#This Row],[P Oferta]]))=1,0,1-(Tabla1[[#This Row],[P Piso-20%]]/Tabla1[[#This Row],[P Oferta]]))</f>
        <v>0.97648848988109471</v>
      </c>
      <c r="J270" s="439">
        <f>Tabla1[[#This Row],[P Piso]]-(Tabla1[[#This Row],[P Piso]]*25%)</f>
        <v>4432.3968000000004</v>
      </c>
      <c r="K270" s="440">
        <f>IF((1-(Tabla1[[#This Row],[P Piso-25%]]/Tabla1[[#This Row],[P Oferta]]))=1,0,1-(Tabla1[[#This Row],[P Piso-25%]]/Tabla1[[#This Row],[P Oferta]]))</f>
        <v>0.97795795926352624</v>
      </c>
      <c r="L270" s="379"/>
      <c r="M270" s="469">
        <v>266</v>
      </c>
      <c r="N270" s="473"/>
      <c r="O270" s="473"/>
      <c r="P270" s="474"/>
      <c r="Q270" s="381"/>
      <c r="R270" s="380"/>
      <c r="S270" s="381"/>
      <c r="T270" s="106"/>
      <c r="W270" s="377">
        <v>0</v>
      </c>
    </row>
    <row r="271" spans="1:23" ht="13.5" customHeight="1">
      <c r="A271" s="477">
        <v>262</v>
      </c>
      <c r="B271" s="478" t="s">
        <v>259</v>
      </c>
      <c r="C271" s="378" t="s">
        <v>366</v>
      </c>
      <c r="D271" s="387">
        <f>VLOOKUP(A271,'Evento Cotiz'!$W$49:$Y$455,3,FALSE)</f>
        <v>0</v>
      </c>
      <c r="E271" s="422">
        <f>VLOOKUP(A271,'Evento Cotiz'!$A$49:$T$459,12,FALSE)</f>
        <v>2669.7103999999999</v>
      </c>
      <c r="F271" s="427">
        <f>VLOOKUP(A271,'Evento Cotiz'!$A$49:$T$459,13,FALSE)</f>
        <v>368.27359999999999</v>
      </c>
      <c r="G271" s="428">
        <f>Tabla1[[#This Row],[Cantidad]]*Tabla1[[#This Row],[P Piso]]</f>
        <v>0</v>
      </c>
      <c r="H271" s="433">
        <f>Tabla1[[#This Row],[P Piso]]-(Tabla1[[#This Row],[P Piso]]*20%)</f>
        <v>294.61887999999999</v>
      </c>
      <c r="I271" s="434">
        <f>IF((1-(Tabla1[[#This Row],[P Piso-20%]]/Tabla1[[#This Row],[P Oferta]]))=1,0,1-(Tabla1[[#This Row],[P Piso-20%]]/Tabla1[[#This Row],[P Oferta]]))</f>
        <v>0.88964388047482601</v>
      </c>
      <c r="J271" s="439">
        <f>Tabla1[[#This Row],[P Piso]]-(Tabla1[[#This Row],[P Piso]]*25%)</f>
        <v>276.20519999999999</v>
      </c>
      <c r="K271" s="440">
        <f>IF((1-(Tabla1[[#This Row],[P Piso-25%]]/Tabla1[[#This Row],[P Oferta]]))=1,0,1-(Tabla1[[#This Row],[P Piso-25%]]/Tabla1[[#This Row],[P Oferta]]))</f>
        <v>0.89654113794514945</v>
      </c>
      <c r="L271" s="379"/>
      <c r="M271" s="469">
        <v>267</v>
      </c>
      <c r="N271" s="473"/>
      <c r="O271" s="473"/>
      <c r="P271" s="474"/>
      <c r="Q271" s="381"/>
      <c r="R271" s="380"/>
      <c r="S271" s="381"/>
      <c r="T271" s="106"/>
      <c r="W271" s="377">
        <v>0</v>
      </c>
    </row>
    <row r="272" spans="1:23" ht="13.5" customHeight="1">
      <c r="A272" s="477">
        <v>263</v>
      </c>
      <c r="B272" s="478" t="s">
        <v>259</v>
      </c>
      <c r="C272" s="378" t="s">
        <v>365</v>
      </c>
      <c r="D272" s="387">
        <f>VLOOKUP(A272,'Evento Cotiz'!$W$49:$Y$455,3,FALSE)</f>
        <v>0</v>
      </c>
      <c r="E272" s="422">
        <f>VLOOKUP(A272,'Evento Cotiz'!$A$49:$T$459,12,FALSE)</f>
        <v>16082.7376</v>
      </c>
      <c r="F272" s="427">
        <f>VLOOKUP(A272,'Evento Cotiz'!$A$49:$T$459,13,FALSE)</f>
        <v>368.27359999999999</v>
      </c>
      <c r="G272" s="428">
        <f>Tabla1[[#This Row],[Cantidad]]*Tabla1[[#This Row],[P Piso]]</f>
        <v>0</v>
      </c>
      <c r="H272" s="433">
        <f>Tabla1[[#This Row],[P Piso]]-(Tabla1[[#This Row],[P Piso]]*20%)</f>
        <v>294.61887999999999</v>
      </c>
      <c r="I272" s="434">
        <f>IF((1-(Tabla1[[#This Row],[P Piso-20%]]/Tabla1[[#This Row],[P Oferta]]))=1,0,1-(Tabla1[[#This Row],[P Piso-20%]]/Tabla1[[#This Row],[P Oferta]]))</f>
        <v>0.98168104912686005</v>
      </c>
      <c r="J272" s="439">
        <f>Tabla1[[#This Row],[P Piso]]-(Tabla1[[#This Row],[P Piso]]*25%)</f>
        <v>276.20519999999999</v>
      </c>
      <c r="K272" s="440">
        <f>IF((1-(Tabla1[[#This Row],[P Piso-25%]]/Tabla1[[#This Row],[P Oferta]]))=1,0,1-(Tabla1[[#This Row],[P Piso-25%]]/Tabla1[[#This Row],[P Oferta]]))</f>
        <v>0.98282598355643136</v>
      </c>
      <c r="L272" s="379"/>
      <c r="M272" s="469">
        <v>268</v>
      </c>
      <c r="N272" s="473"/>
      <c r="O272" s="473"/>
      <c r="P272" s="474"/>
      <c r="Q272" s="381"/>
      <c r="R272" s="380"/>
      <c r="S272" s="381"/>
      <c r="T272" s="106"/>
      <c r="W272" s="377">
        <v>0</v>
      </c>
    </row>
    <row r="273" spans="1:23" ht="13.5" customHeight="1">
      <c r="A273" s="477">
        <v>264</v>
      </c>
      <c r="B273" s="478" t="s">
        <v>260</v>
      </c>
      <c r="C273" s="378" t="s">
        <v>366</v>
      </c>
      <c r="D273" s="387">
        <f>VLOOKUP(A273,'Evento Cotiz'!$W$49:$Y$455,3,FALSE)</f>
        <v>0</v>
      </c>
      <c r="E273" s="422">
        <f>VLOOKUP(A273,'Evento Cotiz'!$A$49:$T$459,12,FALSE)</f>
        <v>11558.545599999999</v>
      </c>
      <c r="F273" s="427">
        <f>VLOOKUP(A273,'Evento Cotiz'!$A$49:$T$459,13,FALSE)</f>
        <v>586.83360000000005</v>
      </c>
      <c r="G273" s="428">
        <f>Tabla1[[#This Row],[Cantidad]]*Tabla1[[#This Row],[P Piso]]</f>
        <v>0</v>
      </c>
      <c r="H273" s="433">
        <f>Tabla1[[#This Row],[P Piso]]-(Tabla1[[#This Row],[P Piso]]*20%)</f>
        <v>469.46688000000006</v>
      </c>
      <c r="I273" s="434">
        <f>IF((1-(Tabla1[[#This Row],[P Piso-20%]]/Tabla1[[#This Row],[P Oferta]]))=1,0,1-(Tabla1[[#This Row],[P Piso-20%]]/Tabla1[[#This Row],[P Oferta]]))</f>
        <v>0.95938356811950454</v>
      </c>
      <c r="J273" s="439">
        <f>Tabla1[[#This Row],[P Piso]]-(Tabla1[[#This Row],[P Piso]]*25%)</f>
        <v>440.12520000000006</v>
      </c>
      <c r="K273" s="440">
        <f>IF((1-(Tabla1[[#This Row],[P Piso-25%]]/Tabla1[[#This Row],[P Oferta]]))=1,0,1-(Tabla1[[#This Row],[P Piso-25%]]/Tabla1[[#This Row],[P Oferta]]))</f>
        <v>0.96192209511203552</v>
      </c>
      <c r="L273" s="379"/>
      <c r="M273" s="469">
        <v>269</v>
      </c>
      <c r="N273" s="473"/>
      <c r="O273" s="473"/>
      <c r="P273" s="474"/>
      <c r="Q273" s="381"/>
      <c r="R273" s="380"/>
      <c r="S273" s="381"/>
      <c r="T273" s="106"/>
      <c r="W273" s="377">
        <v>0</v>
      </c>
    </row>
    <row r="274" spans="1:23" ht="13.5" customHeight="1">
      <c r="A274" s="477">
        <v>265</v>
      </c>
      <c r="B274" s="478" t="s">
        <v>260</v>
      </c>
      <c r="C274" s="378" t="s">
        <v>365</v>
      </c>
      <c r="D274" s="387">
        <f>VLOOKUP(A274,'Evento Cotiz'!$W$49:$Y$455,3,FALSE)</f>
        <v>0</v>
      </c>
      <c r="E274" s="422">
        <f>VLOOKUP(A274,'Evento Cotiz'!$A$49:$T$459,12,FALSE)</f>
        <v>88559.419200000004</v>
      </c>
      <c r="F274" s="427">
        <f>VLOOKUP(A274,'Evento Cotiz'!$A$49:$T$459,13,FALSE)</f>
        <v>586.83360000000005</v>
      </c>
      <c r="G274" s="428">
        <f>Tabla1[[#This Row],[Cantidad]]*Tabla1[[#This Row],[P Piso]]</f>
        <v>0</v>
      </c>
      <c r="H274" s="433">
        <f>Tabla1[[#This Row],[P Piso]]-(Tabla1[[#This Row],[P Piso]]*20%)</f>
        <v>469.46688000000006</v>
      </c>
      <c r="I274" s="434">
        <f>IF((1-(Tabla1[[#This Row],[P Piso-20%]]/Tabla1[[#This Row],[P Oferta]]))=1,0,1-(Tabla1[[#This Row],[P Piso-20%]]/Tabla1[[#This Row],[P Oferta]]))</f>
        <v>0.9946988487024766</v>
      </c>
      <c r="J274" s="439">
        <f>Tabla1[[#This Row],[P Piso]]-(Tabla1[[#This Row],[P Piso]]*25%)</f>
        <v>440.12520000000006</v>
      </c>
      <c r="K274" s="440">
        <f>IF((1-(Tabla1[[#This Row],[P Piso-25%]]/Tabla1[[#This Row],[P Oferta]]))=1,0,1-(Tabla1[[#This Row],[P Piso-25%]]/Tabla1[[#This Row],[P Oferta]]))</f>
        <v>0.9950301706585718</v>
      </c>
      <c r="L274" s="379"/>
      <c r="M274" s="469">
        <v>270</v>
      </c>
      <c r="N274" s="473"/>
      <c r="O274" s="473"/>
      <c r="P274" s="474"/>
      <c r="Q274" s="381"/>
      <c r="R274" s="380"/>
      <c r="S274" s="381"/>
      <c r="T274" s="106"/>
      <c r="W274" s="377">
        <v>0</v>
      </c>
    </row>
    <row r="275" spans="1:23" ht="13.5" customHeight="1">
      <c r="A275" s="477">
        <v>266</v>
      </c>
      <c r="B275" s="478" t="s">
        <v>261</v>
      </c>
      <c r="C275" s="378" t="s">
        <v>366</v>
      </c>
      <c r="D275" s="387">
        <f>VLOOKUP(A275,'Evento Cotiz'!$W$49:$Y$455,3,FALSE)</f>
        <v>0</v>
      </c>
      <c r="E275" s="422">
        <f>VLOOKUP(A275,'Evento Cotiz'!$A$49:$T$459,12,FALSE)</f>
        <v>20211.335999999999</v>
      </c>
      <c r="F275" s="427">
        <f>VLOOKUP(A275,'Evento Cotiz'!$A$49:$T$459,13,FALSE)</f>
        <v>1053.4592</v>
      </c>
      <c r="G275" s="428">
        <f>Tabla1[[#This Row],[Cantidad]]*Tabla1[[#This Row],[P Piso]]</f>
        <v>0</v>
      </c>
      <c r="H275" s="433">
        <f>Tabla1[[#This Row],[P Piso]]-(Tabla1[[#This Row],[P Piso]]*20%)</f>
        <v>842.76736000000005</v>
      </c>
      <c r="I275" s="434">
        <f>IF((1-(Tabla1[[#This Row],[P Piso-20%]]/Tabla1[[#This Row],[P Oferta]]))=1,0,1-(Tabla1[[#This Row],[P Piso-20%]]/Tabla1[[#This Row],[P Oferta]]))</f>
        <v>0.95830224384968909</v>
      </c>
      <c r="J275" s="439">
        <f>Tabla1[[#This Row],[P Piso]]-(Tabla1[[#This Row],[P Piso]]*25%)</f>
        <v>790.09439999999995</v>
      </c>
      <c r="K275" s="440">
        <f>IF((1-(Tabla1[[#This Row],[P Piso-25%]]/Tabla1[[#This Row],[P Oferta]]))=1,0,1-(Tabla1[[#This Row],[P Piso-25%]]/Tabla1[[#This Row],[P Oferta]]))</f>
        <v>0.96090835360908355</v>
      </c>
      <c r="L275" s="379"/>
      <c r="M275" s="469">
        <v>271</v>
      </c>
      <c r="N275" s="473"/>
      <c r="O275" s="473"/>
      <c r="P275" s="474"/>
      <c r="Q275" s="381"/>
      <c r="R275" s="380"/>
      <c r="S275" s="381"/>
      <c r="T275" s="106"/>
      <c r="W275" s="377">
        <v>0</v>
      </c>
    </row>
    <row r="276" spans="1:23" ht="13.5" customHeight="1">
      <c r="A276" s="477">
        <v>267</v>
      </c>
      <c r="B276" s="478" t="s">
        <v>261</v>
      </c>
      <c r="C276" s="378" t="s">
        <v>365</v>
      </c>
      <c r="D276" s="387">
        <f>VLOOKUP(A276,'Evento Cotiz'!$W$49:$Y$455,3,FALSE)</f>
        <v>0</v>
      </c>
      <c r="E276" s="422">
        <f>VLOOKUP(A276,'Evento Cotiz'!$A$49:$T$459,12,FALSE)</f>
        <v>100871.99679999999</v>
      </c>
      <c r="F276" s="427">
        <f>VLOOKUP(A276,'Evento Cotiz'!$A$49:$T$459,13,FALSE)</f>
        <v>1053.4592</v>
      </c>
      <c r="G276" s="428">
        <f>Tabla1[[#This Row],[Cantidad]]*Tabla1[[#This Row],[P Piso]]</f>
        <v>0</v>
      </c>
      <c r="H276" s="433">
        <f>Tabla1[[#This Row],[P Piso]]-(Tabla1[[#This Row],[P Piso]]*20%)</f>
        <v>842.76736000000005</v>
      </c>
      <c r="I276" s="434">
        <f>IF((1-(Tabla1[[#This Row],[P Piso-20%]]/Tabla1[[#This Row],[P Oferta]]))=1,0,1-(Tabla1[[#This Row],[P Piso-20%]]/Tabla1[[#This Row],[P Oferta]]))</f>
        <v>0.99164518016163627</v>
      </c>
      <c r="J276" s="439">
        <f>Tabla1[[#This Row],[P Piso]]-(Tabla1[[#This Row],[P Piso]]*25%)</f>
        <v>790.09439999999995</v>
      </c>
      <c r="K276" s="440">
        <f>IF((1-(Tabla1[[#This Row],[P Piso-25%]]/Tabla1[[#This Row],[P Oferta]]))=1,0,1-(Tabla1[[#This Row],[P Piso-25%]]/Tabla1[[#This Row],[P Oferta]]))</f>
        <v>0.99216735640153408</v>
      </c>
      <c r="L276" s="379"/>
      <c r="M276" s="469">
        <v>272</v>
      </c>
      <c r="N276" s="473"/>
      <c r="O276" s="473"/>
      <c r="P276" s="474"/>
      <c r="Q276" s="381"/>
      <c r="R276" s="380"/>
      <c r="S276" s="381"/>
      <c r="T276" s="106"/>
      <c r="W276" s="377">
        <v>0</v>
      </c>
    </row>
    <row r="277" spans="1:23">
      <c r="A277" s="477">
        <v>268</v>
      </c>
      <c r="B277" s="478" t="s">
        <v>262</v>
      </c>
      <c r="C277" s="378" t="s">
        <v>366</v>
      </c>
      <c r="D277" s="387">
        <f>VLOOKUP(A277,'Evento Cotiz'!$W$49:$Y$455,3,FALSE)</f>
        <v>0</v>
      </c>
      <c r="E277" s="422">
        <f>VLOOKUP(A277,'Evento Cotiz'!$A$49:$T$459,12,FALSE)</f>
        <v>3621.5392000000002</v>
      </c>
      <c r="F277" s="427">
        <f>VLOOKUP(A277,'Evento Cotiz'!$A$49:$T$459,13,FALSE)</f>
        <v>284.12799999999999</v>
      </c>
      <c r="G277" s="428">
        <f>Tabla1[[#This Row],[Cantidad]]*Tabla1[[#This Row],[P Piso]]</f>
        <v>0</v>
      </c>
      <c r="H277" s="433">
        <f>Tabla1[[#This Row],[P Piso]]-(Tabla1[[#This Row],[P Piso]]*20%)</f>
        <v>227.30239999999998</v>
      </c>
      <c r="I277" s="434">
        <f>IF((1-(Tabla1[[#This Row],[P Piso-20%]]/Tabla1[[#This Row],[P Oferta]]))=1,0,1-(Tabla1[[#This Row],[P Piso-20%]]/Tabla1[[#This Row],[P Oferta]]))</f>
        <v>0.93723596861798431</v>
      </c>
      <c r="J277" s="439">
        <f>Tabla1[[#This Row],[P Piso]]-(Tabla1[[#This Row],[P Piso]]*25%)</f>
        <v>213.096</v>
      </c>
      <c r="K277" s="440">
        <f>IF((1-(Tabla1[[#This Row],[P Piso-25%]]/Tabla1[[#This Row],[P Oferta]]))=1,0,1-(Tabla1[[#This Row],[P Piso-25%]]/Tabla1[[#This Row],[P Oferta]]))</f>
        <v>0.94115872057936034</v>
      </c>
      <c r="L277" s="379"/>
      <c r="M277" s="469">
        <v>273</v>
      </c>
      <c r="N277" s="473"/>
      <c r="O277" s="473"/>
      <c r="P277" s="474"/>
      <c r="Q277" s="381"/>
      <c r="R277" s="380"/>
      <c r="S277" s="381"/>
      <c r="T277" s="106"/>
      <c r="W277" s="377">
        <v>1</v>
      </c>
    </row>
    <row r="278" spans="1:23" ht="13.5" customHeight="1">
      <c r="A278" s="477">
        <v>269</v>
      </c>
      <c r="B278" s="478" t="s">
        <v>262</v>
      </c>
      <c r="C278" s="378" t="s">
        <v>365</v>
      </c>
      <c r="D278" s="387">
        <f>VLOOKUP(A278,'Evento Cotiz'!$W$49:$Y$455,3,FALSE)</f>
        <v>0</v>
      </c>
      <c r="E278" s="422">
        <f>VLOOKUP(A278,'Evento Cotiz'!$A$49:$T$459,12,FALSE)</f>
        <v>22003.527999999998</v>
      </c>
      <c r="F278" s="427">
        <f>VLOOKUP(A278,'Evento Cotiz'!$A$49:$T$459,13,FALSE)</f>
        <v>284.12799999999999</v>
      </c>
      <c r="G278" s="428">
        <f>Tabla1[[#This Row],[Cantidad]]*Tabla1[[#This Row],[P Piso]]</f>
        <v>0</v>
      </c>
      <c r="H278" s="433">
        <f>Tabla1[[#This Row],[P Piso]]-(Tabla1[[#This Row],[P Piso]]*20%)</f>
        <v>227.30239999999998</v>
      </c>
      <c r="I278" s="434">
        <f>IF((1-(Tabla1[[#This Row],[P Piso-20%]]/Tabla1[[#This Row],[P Oferta]]))=1,0,1-(Tabla1[[#This Row],[P Piso-20%]]/Tabla1[[#This Row],[P Oferta]]))</f>
        <v>0.98966972932704245</v>
      </c>
      <c r="J278" s="439">
        <f>Tabla1[[#This Row],[P Piso]]-(Tabla1[[#This Row],[P Piso]]*25%)</f>
        <v>213.096</v>
      </c>
      <c r="K278" s="440">
        <f>IF((1-(Tabla1[[#This Row],[P Piso-25%]]/Tabla1[[#This Row],[P Oferta]]))=1,0,1-(Tabla1[[#This Row],[P Piso-25%]]/Tabla1[[#This Row],[P Oferta]]))</f>
        <v>0.99031537124410229</v>
      </c>
      <c r="L278" s="379"/>
      <c r="M278" s="469">
        <v>274</v>
      </c>
      <c r="N278" s="473"/>
      <c r="O278" s="473"/>
      <c r="P278" s="474"/>
      <c r="Q278" s="381"/>
      <c r="R278" s="380"/>
      <c r="S278" s="381"/>
      <c r="T278" s="106"/>
      <c r="W278" s="377">
        <v>0</v>
      </c>
    </row>
    <row r="279" spans="1:23" ht="13.5" customHeight="1">
      <c r="A279" s="477">
        <v>270</v>
      </c>
      <c r="B279" s="478" t="s">
        <v>263</v>
      </c>
      <c r="C279" s="378" t="s">
        <v>366</v>
      </c>
      <c r="D279" s="387">
        <f>VLOOKUP(A279,'Evento Cotiz'!$W$49:$Y$455,3,FALSE)</f>
        <v>0</v>
      </c>
      <c r="E279" s="422">
        <f>VLOOKUP(A279,'Evento Cotiz'!$A$49:$T$459,12,FALSE)</f>
        <v>4549.3263999999999</v>
      </c>
      <c r="F279" s="427">
        <f>VLOOKUP(A279,'Evento Cotiz'!$A$49:$T$459,13,FALSE)</f>
        <v>219.65280000000001</v>
      </c>
      <c r="G279" s="428">
        <f>Tabla1[[#This Row],[Cantidad]]*Tabla1[[#This Row],[P Piso]]</f>
        <v>0</v>
      </c>
      <c r="H279" s="433">
        <f>Tabla1[[#This Row],[P Piso]]-(Tabla1[[#This Row],[P Piso]]*20%)</f>
        <v>175.72224</v>
      </c>
      <c r="I279" s="434">
        <f>IF((1-(Tabla1[[#This Row],[P Piso-20%]]/Tabla1[[#This Row],[P Oferta]]))=1,0,1-(Tabla1[[#This Row],[P Piso-20%]]/Tabla1[[#This Row],[P Oferta]]))</f>
        <v>0.96137400912803272</v>
      </c>
      <c r="J279" s="439">
        <f>Tabla1[[#This Row],[P Piso]]-(Tabla1[[#This Row],[P Piso]]*25%)</f>
        <v>164.7396</v>
      </c>
      <c r="K279" s="440">
        <f>IF((1-(Tabla1[[#This Row],[P Piso-25%]]/Tabla1[[#This Row],[P Oferta]]))=1,0,1-(Tabla1[[#This Row],[P Piso-25%]]/Tabla1[[#This Row],[P Oferta]]))</f>
        <v>0.96378813355753068</v>
      </c>
      <c r="L279" s="379"/>
      <c r="M279" s="469">
        <v>275</v>
      </c>
      <c r="N279" s="473"/>
      <c r="O279" s="473"/>
      <c r="P279" s="474"/>
      <c r="Q279" s="381"/>
      <c r="R279" s="380"/>
      <c r="S279" s="381"/>
      <c r="T279" s="106"/>
      <c r="W279" s="377">
        <v>0</v>
      </c>
    </row>
    <row r="280" spans="1:23" ht="13.5" customHeight="1">
      <c r="A280" s="477">
        <v>271</v>
      </c>
      <c r="B280" s="478" t="s">
        <v>263</v>
      </c>
      <c r="C280" s="378" t="s">
        <v>365</v>
      </c>
      <c r="D280" s="387">
        <f>VLOOKUP(A280,'Evento Cotiz'!$W$49:$Y$455,3,FALSE)</f>
        <v>0</v>
      </c>
      <c r="E280" s="422">
        <f>VLOOKUP(A280,'Evento Cotiz'!$A$49:$T$459,12,FALSE)</f>
        <v>30743.742399999999</v>
      </c>
      <c r="F280" s="427">
        <f>VLOOKUP(A280,'Evento Cotiz'!$A$49:$T$459,13,FALSE)</f>
        <v>219.65280000000001</v>
      </c>
      <c r="G280" s="428">
        <f>Tabla1[[#This Row],[Cantidad]]*Tabla1[[#This Row],[P Piso]]</f>
        <v>0</v>
      </c>
      <c r="H280" s="433">
        <f>Tabla1[[#This Row],[P Piso]]-(Tabla1[[#This Row],[P Piso]]*20%)</f>
        <v>175.72224</v>
      </c>
      <c r="I280" s="434">
        <f>IF((1-(Tabla1[[#This Row],[P Piso-20%]]/Tabla1[[#This Row],[P Oferta]]))=1,0,1-(Tabla1[[#This Row],[P Piso-20%]]/Tabla1[[#This Row],[P Oferta]]))</f>
        <v>0.99428429246792027</v>
      </c>
      <c r="J280" s="439">
        <f>Tabla1[[#This Row],[P Piso]]-(Tabla1[[#This Row],[P Piso]]*25%)</f>
        <v>164.7396</v>
      </c>
      <c r="K280" s="440">
        <f>IF((1-(Tabla1[[#This Row],[P Piso-25%]]/Tabla1[[#This Row],[P Oferta]]))=1,0,1-(Tabla1[[#This Row],[P Piso-25%]]/Tabla1[[#This Row],[P Oferta]]))</f>
        <v>0.99464152418867524</v>
      </c>
      <c r="L280" s="379"/>
      <c r="M280" s="469">
        <v>276</v>
      </c>
      <c r="N280" s="473"/>
      <c r="O280" s="473"/>
      <c r="P280" s="474"/>
      <c r="Q280" s="381"/>
      <c r="R280" s="380"/>
      <c r="S280" s="381"/>
      <c r="T280" s="106"/>
      <c r="W280" s="377">
        <v>0</v>
      </c>
    </row>
    <row r="281" spans="1:23" ht="13.5" customHeight="1">
      <c r="A281" s="477">
        <v>272</v>
      </c>
      <c r="B281" s="478" t="s">
        <v>264</v>
      </c>
      <c r="C281" s="378" t="s">
        <v>366</v>
      </c>
      <c r="D281" s="387">
        <f>VLOOKUP(A281,'Evento Cotiz'!$W$49:$Y$455,3,FALSE)</f>
        <v>0</v>
      </c>
      <c r="E281" s="422">
        <f>VLOOKUP(A281,'Evento Cotiz'!$A$49:$T$459,12,FALSE)</f>
        <v>7379.6783999999998</v>
      </c>
      <c r="F281" s="427">
        <f>VLOOKUP(A281,'Evento Cotiz'!$A$49:$T$459,13,FALSE)</f>
        <v>587.92639999999994</v>
      </c>
      <c r="G281" s="428">
        <f>Tabla1[[#This Row],[Cantidad]]*Tabla1[[#This Row],[P Piso]]</f>
        <v>0</v>
      </c>
      <c r="H281" s="433">
        <f>Tabla1[[#This Row],[P Piso]]-(Tabla1[[#This Row],[P Piso]]*20%)</f>
        <v>470.34111999999993</v>
      </c>
      <c r="I281" s="434">
        <f>IF((1-(Tabla1[[#This Row],[P Piso-20%]]/Tabla1[[#This Row],[P Oferta]]))=1,0,1-(Tabla1[[#This Row],[P Piso-20%]]/Tabla1[[#This Row],[P Oferta]]))</f>
        <v>0.93626536354212941</v>
      </c>
      <c r="J281" s="439">
        <f>Tabla1[[#This Row],[P Piso]]-(Tabla1[[#This Row],[P Piso]]*25%)</f>
        <v>440.94479999999999</v>
      </c>
      <c r="K281" s="440">
        <f>IF((1-(Tabla1[[#This Row],[P Piso-25%]]/Tabla1[[#This Row],[P Oferta]]))=1,0,1-(Tabla1[[#This Row],[P Piso-25%]]/Tabla1[[#This Row],[P Oferta]]))</f>
        <v>0.94024877832074638</v>
      </c>
      <c r="L281" s="379"/>
      <c r="M281" s="469">
        <v>277</v>
      </c>
      <c r="N281" s="473"/>
      <c r="O281" s="473"/>
      <c r="P281" s="474"/>
      <c r="Q281" s="381"/>
      <c r="R281" s="380"/>
      <c r="S281" s="381"/>
      <c r="T281" s="106"/>
      <c r="W281" s="377">
        <v>0</v>
      </c>
    </row>
    <row r="282" spans="1:23" ht="13.5" customHeight="1">
      <c r="A282" s="477">
        <v>273</v>
      </c>
      <c r="B282" s="478" t="s">
        <v>264</v>
      </c>
      <c r="C282" s="378" t="s">
        <v>365</v>
      </c>
      <c r="D282" s="387">
        <f>VLOOKUP(A282,'Evento Cotiz'!$W$49:$Y$455,3,FALSE)</f>
        <v>0</v>
      </c>
      <c r="E282" s="422">
        <f>VLOOKUP(A282,'Evento Cotiz'!$A$49:$T$459,12,FALSE)</f>
        <v>47926.929600000003</v>
      </c>
      <c r="F282" s="427">
        <f>VLOOKUP(A282,'Evento Cotiz'!$A$49:$T$459,13,FALSE)</f>
        <v>756.21759999999995</v>
      </c>
      <c r="G282" s="428">
        <f>Tabla1[[#This Row],[Cantidad]]*Tabla1[[#This Row],[P Piso]]</f>
        <v>0</v>
      </c>
      <c r="H282" s="433">
        <f>Tabla1[[#This Row],[P Piso]]-(Tabla1[[#This Row],[P Piso]]*20%)</f>
        <v>604.97407999999996</v>
      </c>
      <c r="I282" s="434">
        <f>IF((1-(Tabla1[[#This Row],[P Piso-20%]]/Tabla1[[#This Row],[P Oferta]]))=1,0,1-(Tabla1[[#This Row],[P Piso-20%]]/Tabla1[[#This Row],[P Oferta]]))</f>
        <v>0.98737715758031785</v>
      </c>
      <c r="J282" s="439">
        <f>Tabla1[[#This Row],[P Piso]]-(Tabla1[[#This Row],[P Piso]]*25%)</f>
        <v>567.16319999999996</v>
      </c>
      <c r="K282" s="440">
        <f>IF((1-(Tabla1[[#This Row],[P Piso-25%]]/Tabla1[[#This Row],[P Oferta]]))=1,0,1-(Tabla1[[#This Row],[P Piso-25%]]/Tabla1[[#This Row],[P Oferta]]))</f>
        <v>0.98816608523154803</v>
      </c>
      <c r="L282" s="379"/>
      <c r="M282" s="469">
        <v>278</v>
      </c>
      <c r="N282" s="473"/>
      <c r="O282" s="473"/>
      <c r="P282" s="474"/>
      <c r="Q282" s="381"/>
      <c r="R282" s="380"/>
      <c r="S282" s="381"/>
      <c r="T282" s="106"/>
      <c r="W282" s="377">
        <v>0</v>
      </c>
    </row>
    <row r="283" spans="1:23" ht="13.5" customHeight="1">
      <c r="A283" s="477">
        <v>274</v>
      </c>
      <c r="B283" s="478" t="s">
        <v>265</v>
      </c>
      <c r="C283" s="378" t="s">
        <v>366</v>
      </c>
      <c r="D283" s="387">
        <f>VLOOKUP(A283,'Evento Cotiz'!$W$49:$Y$455,3,FALSE)</f>
        <v>0</v>
      </c>
      <c r="E283" s="422">
        <f>VLOOKUP(A283,'Evento Cotiz'!$A$49:$T$459,12,FALSE)</f>
        <v>6972.0640000000003</v>
      </c>
      <c r="F283" s="427">
        <f>VLOOKUP(A283,'Evento Cotiz'!$A$49:$T$459,13,FALSE)</f>
        <v>592.29759999999999</v>
      </c>
      <c r="G283" s="428">
        <f>Tabla1[[#This Row],[Cantidad]]*Tabla1[[#This Row],[P Piso]]</f>
        <v>0</v>
      </c>
      <c r="H283" s="433">
        <f>Tabla1[[#This Row],[P Piso]]-(Tabla1[[#This Row],[P Piso]]*20%)</f>
        <v>473.83807999999999</v>
      </c>
      <c r="I283" s="434">
        <f>IF((1-(Tabla1[[#This Row],[P Piso-20%]]/Tabla1[[#This Row],[P Oferta]]))=1,0,1-(Tabla1[[#This Row],[P Piso-20%]]/Tabla1[[#This Row],[P Oferta]]))</f>
        <v>0.93203761755485892</v>
      </c>
      <c r="J283" s="439">
        <f>Tabla1[[#This Row],[P Piso]]-(Tabla1[[#This Row],[P Piso]]*25%)</f>
        <v>444.22320000000002</v>
      </c>
      <c r="K283" s="440">
        <f>IF((1-(Tabla1[[#This Row],[P Piso-25%]]/Tabla1[[#This Row],[P Oferta]]))=1,0,1-(Tabla1[[#This Row],[P Piso-25%]]/Tabla1[[#This Row],[P Oferta]]))</f>
        <v>0.93628526645768029</v>
      </c>
      <c r="L283" s="379"/>
      <c r="M283" s="469">
        <v>279</v>
      </c>
      <c r="N283" s="473"/>
      <c r="O283" s="473"/>
      <c r="P283" s="474"/>
      <c r="Q283" s="381"/>
      <c r="R283" s="380"/>
      <c r="S283" s="381"/>
      <c r="T283" s="106"/>
      <c r="W283" s="377">
        <v>0</v>
      </c>
    </row>
    <row r="284" spans="1:23" ht="13.5" customHeight="1">
      <c r="A284" s="477">
        <v>275</v>
      </c>
      <c r="B284" s="478" t="s">
        <v>265</v>
      </c>
      <c r="C284" s="378" t="s">
        <v>365</v>
      </c>
      <c r="D284" s="387">
        <f>VLOOKUP(A284,'Evento Cotiz'!$W$49:$Y$455,3,FALSE)</f>
        <v>0</v>
      </c>
      <c r="E284" s="422">
        <f>VLOOKUP(A284,'Evento Cotiz'!$A$49:$T$459,12,FALSE)</f>
        <v>62674.265599999999</v>
      </c>
      <c r="F284" s="427">
        <f>VLOOKUP(A284,'Evento Cotiz'!$A$49:$T$459,13,FALSE)</f>
        <v>1282.9472000000001</v>
      </c>
      <c r="G284" s="428">
        <f>Tabla1[[#This Row],[Cantidad]]*Tabla1[[#This Row],[P Piso]]</f>
        <v>0</v>
      </c>
      <c r="H284" s="433">
        <f>Tabla1[[#This Row],[P Piso]]-(Tabla1[[#This Row],[P Piso]]*20%)</f>
        <v>1026.3577600000001</v>
      </c>
      <c r="I284" s="434">
        <f>IF((1-(Tabla1[[#This Row],[P Piso-20%]]/Tabla1[[#This Row],[P Oferta]]))=1,0,1-(Tabla1[[#This Row],[P Piso-20%]]/Tabla1[[#This Row],[P Oferta]]))</f>
        <v>0.98362393639280232</v>
      </c>
      <c r="J284" s="439">
        <f>Tabla1[[#This Row],[P Piso]]-(Tabla1[[#This Row],[P Piso]]*25%)</f>
        <v>962.21040000000005</v>
      </c>
      <c r="K284" s="440">
        <f>IF((1-(Tabla1[[#This Row],[P Piso-25%]]/Tabla1[[#This Row],[P Oferta]]))=1,0,1-(Tabla1[[#This Row],[P Piso-25%]]/Tabla1[[#This Row],[P Oferta]]))</f>
        <v>0.98464744036825225</v>
      </c>
      <c r="L284" s="379"/>
      <c r="M284" s="469">
        <v>280</v>
      </c>
      <c r="N284" s="473"/>
      <c r="O284" s="473"/>
      <c r="P284" s="474"/>
      <c r="Q284" s="381"/>
      <c r="R284" s="380"/>
      <c r="S284" s="381"/>
      <c r="T284" s="106"/>
      <c r="W284" s="377">
        <v>0</v>
      </c>
    </row>
    <row r="285" spans="1:23" ht="13.5" customHeight="1">
      <c r="A285" s="477">
        <v>276</v>
      </c>
      <c r="B285" s="478" t="s">
        <v>266</v>
      </c>
      <c r="C285" s="378" t="s">
        <v>366</v>
      </c>
      <c r="D285" s="387">
        <f>VLOOKUP(A285,'Evento Cotiz'!$W$49:$Y$455,3,FALSE)</f>
        <v>0</v>
      </c>
      <c r="E285" s="422">
        <f>VLOOKUP(A285,'Evento Cotiz'!$A$49:$T$459,12,FALSE)</f>
        <v>10446.075199999999</v>
      </c>
      <c r="F285" s="427">
        <f>VLOOKUP(A285,'Evento Cotiz'!$A$49:$T$459,13,FALSE)</f>
        <v>731.08320000000003</v>
      </c>
      <c r="G285" s="428">
        <f>Tabla1[[#This Row],[Cantidad]]*Tabla1[[#This Row],[P Piso]]</f>
        <v>0</v>
      </c>
      <c r="H285" s="433">
        <f>Tabla1[[#This Row],[P Piso]]-(Tabla1[[#This Row],[P Piso]]*20%)</f>
        <v>584.86656000000005</v>
      </c>
      <c r="I285" s="434">
        <f>IF((1-(Tabla1[[#This Row],[P Piso-20%]]/Tabla1[[#This Row],[P Oferta]]))=1,0,1-(Tabla1[[#This Row],[P Piso-20%]]/Tabla1[[#This Row],[P Oferta]]))</f>
        <v>0.94401087979914211</v>
      </c>
      <c r="J285" s="439">
        <f>Tabla1[[#This Row],[P Piso]]-(Tabla1[[#This Row],[P Piso]]*25%)</f>
        <v>548.31240000000003</v>
      </c>
      <c r="K285" s="440">
        <f>IF((1-(Tabla1[[#This Row],[P Piso-25%]]/Tabla1[[#This Row],[P Oferta]]))=1,0,1-(Tabla1[[#This Row],[P Piso-25%]]/Tabla1[[#This Row],[P Oferta]]))</f>
        <v>0.94751019981169582</v>
      </c>
      <c r="L285" s="379"/>
      <c r="M285" s="469">
        <v>281</v>
      </c>
      <c r="N285" s="473"/>
      <c r="O285" s="473"/>
      <c r="P285" s="474"/>
      <c r="Q285" s="381"/>
      <c r="R285" s="380"/>
      <c r="S285" s="381"/>
      <c r="T285" s="106"/>
      <c r="W285" s="377">
        <v>0</v>
      </c>
    </row>
    <row r="286" spans="1:23" ht="13.5" customHeight="1">
      <c r="A286" s="477">
        <v>277</v>
      </c>
      <c r="B286" s="478" t="s">
        <v>266</v>
      </c>
      <c r="C286" s="378" t="s">
        <v>365</v>
      </c>
      <c r="D286" s="387">
        <f>VLOOKUP(A286,'Evento Cotiz'!$W$49:$Y$455,3,FALSE)</f>
        <v>0</v>
      </c>
      <c r="E286" s="422">
        <f>VLOOKUP(A286,'Evento Cotiz'!$A$49:$T$459,12,FALSE)</f>
        <v>76655.548800000004</v>
      </c>
      <c r="F286" s="427">
        <f>VLOOKUP(A286,'Evento Cotiz'!$A$49:$T$459,13,FALSE)</f>
        <v>1649.0352</v>
      </c>
      <c r="G286" s="428">
        <f>Tabla1[[#This Row],[Cantidad]]*Tabla1[[#This Row],[P Piso]]</f>
        <v>0</v>
      </c>
      <c r="H286" s="433">
        <f>Tabla1[[#This Row],[P Piso]]-(Tabla1[[#This Row],[P Piso]]*20%)</f>
        <v>1319.2281600000001</v>
      </c>
      <c r="I286" s="434">
        <f>IF((1-(Tabla1[[#This Row],[P Piso-20%]]/Tabla1[[#This Row],[P Oferta]]))=1,0,1-(Tabla1[[#This Row],[P Piso-20%]]/Tabla1[[#This Row],[P Oferta]]))</f>
        <v>0.98279018048071165</v>
      </c>
      <c r="J286" s="439">
        <f>Tabla1[[#This Row],[P Piso]]-(Tabla1[[#This Row],[P Piso]]*25%)</f>
        <v>1236.7764</v>
      </c>
      <c r="K286" s="440">
        <f>IF((1-(Tabla1[[#This Row],[P Piso-25%]]/Tabla1[[#This Row],[P Oferta]]))=1,0,1-(Tabla1[[#This Row],[P Piso-25%]]/Tabla1[[#This Row],[P Oferta]]))</f>
        <v>0.98386579420066722</v>
      </c>
      <c r="L286" s="379"/>
      <c r="M286" s="469">
        <v>282</v>
      </c>
      <c r="N286" s="473"/>
      <c r="O286" s="473"/>
      <c r="P286" s="474"/>
      <c r="Q286" s="381"/>
      <c r="R286" s="380"/>
      <c r="S286" s="381"/>
      <c r="T286" s="106"/>
      <c r="W286" s="377">
        <v>0</v>
      </c>
    </row>
    <row r="287" spans="1:23">
      <c r="A287" s="477">
        <v>278</v>
      </c>
      <c r="B287" s="478" t="s">
        <v>267</v>
      </c>
      <c r="C287" s="378" t="s">
        <v>366</v>
      </c>
      <c r="D287" s="387">
        <f>VLOOKUP(A287,'Evento Cotiz'!$W$49:$Y$455,3,FALSE)</f>
        <v>0</v>
      </c>
      <c r="E287" s="422">
        <f>VLOOKUP(A287,'Evento Cotiz'!$A$49:$T$459,12,FALSE)</f>
        <v>8381.7759999999998</v>
      </c>
      <c r="F287" s="427">
        <f>VLOOKUP(A287,'Evento Cotiz'!$A$49:$T$459,13,FALSE)</f>
        <v>1019.5824</v>
      </c>
      <c r="G287" s="428">
        <f>Tabla1[[#This Row],[Cantidad]]*Tabla1[[#This Row],[P Piso]]</f>
        <v>0</v>
      </c>
      <c r="H287" s="433">
        <f>Tabla1[[#This Row],[P Piso]]-(Tabla1[[#This Row],[P Piso]]*20%)</f>
        <v>815.66592000000003</v>
      </c>
      <c r="I287" s="434">
        <f>IF((1-(Tabla1[[#This Row],[P Piso-20%]]/Tabla1[[#This Row],[P Oferta]]))=1,0,1-(Tabla1[[#This Row],[P Piso-20%]]/Tabla1[[#This Row],[P Oferta]]))</f>
        <v>0.90268578878748373</v>
      </c>
      <c r="J287" s="439">
        <f>Tabla1[[#This Row],[P Piso]]-(Tabla1[[#This Row],[P Piso]]*25%)</f>
        <v>764.68679999999995</v>
      </c>
      <c r="K287" s="440">
        <f>IF((1-(Tabla1[[#This Row],[P Piso-25%]]/Tabla1[[#This Row],[P Oferta]]))=1,0,1-(Tabla1[[#This Row],[P Piso-25%]]/Tabla1[[#This Row],[P Oferta]]))</f>
        <v>0.90876792698826603</v>
      </c>
      <c r="L287" s="379"/>
      <c r="M287" s="469">
        <v>283</v>
      </c>
      <c r="N287" s="473"/>
      <c r="O287" s="473"/>
      <c r="P287" s="474"/>
      <c r="Q287" s="381"/>
      <c r="R287" s="380"/>
      <c r="S287" s="381"/>
      <c r="T287" s="106"/>
      <c r="W287" s="377">
        <v>2</v>
      </c>
    </row>
    <row r="288" spans="1:23" ht="13.5" customHeight="1">
      <c r="A288" s="477">
        <v>279</v>
      </c>
      <c r="B288" s="478" t="s">
        <v>267</v>
      </c>
      <c r="C288" s="378" t="s">
        <v>365</v>
      </c>
      <c r="D288" s="387">
        <f>VLOOKUP(A288,'Evento Cotiz'!$W$49:$Y$455,3,FALSE)</f>
        <v>0</v>
      </c>
      <c r="E288" s="422">
        <f>VLOOKUP(A288,'Evento Cotiz'!$A$49:$T$459,12,FALSE)</f>
        <v>90809.494399999996</v>
      </c>
      <c r="F288" s="427">
        <f>VLOOKUP(A288,'Evento Cotiz'!$A$49:$T$459,13,FALSE)</f>
        <v>1282.9472000000001</v>
      </c>
      <c r="G288" s="428">
        <f>Tabla1[[#This Row],[Cantidad]]*Tabla1[[#This Row],[P Piso]]</f>
        <v>0</v>
      </c>
      <c r="H288" s="433">
        <f>Tabla1[[#This Row],[P Piso]]-(Tabla1[[#This Row],[P Piso]]*20%)</f>
        <v>1026.3577600000001</v>
      </c>
      <c r="I288" s="434">
        <f>IF((1-(Tabla1[[#This Row],[P Piso-20%]]/Tabla1[[#This Row],[P Oferta]]))=1,0,1-(Tabla1[[#This Row],[P Piso-20%]]/Tabla1[[#This Row],[P Oferta]]))</f>
        <v>0.98869768225468724</v>
      </c>
      <c r="J288" s="439">
        <f>Tabla1[[#This Row],[P Piso]]-(Tabla1[[#This Row],[P Piso]]*25%)</f>
        <v>962.21040000000005</v>
      </c>
      <c r="K288" s="440">
        <f>IF((1-(Tabla1[[#This Row],[P Piso-25%]]/Tabla1[[#This Row],[P Oferta]]))=1,0,1-(Tabla1[[#This Row],[P Piso-25%]]/Tabla1[[#This Row],[P Oferta]]))</f>
        <v>0.98940407711376932</v>
      </c>
      <c r="L288" s="379"/>
      <c r="M288" s="469">
        <v>284</v>
      </c>
      <c r="N288" s="473"/>
      <c r="O288" s="473"/>
      <c r="P288" s="474"/>
      <c r="Q288" s="381"/>
      <c r="R288" s="380"/>
      <c r="S288" s="381"/>
      <c r="T288" s="106"/>
      <c r="W288" s="377">
        <v>0</v>
      </c>
    </row>
    <row r="289" spans="1:23" ht="13.5" customHeight="1">
      <c r="A289" s="477">
        <v>280</v>
      </c>
      <c r="B289" s="478" t="s">
        <v>268</v>
      </c>
      <c r="C289" s="378" t="s">
        <v>365</v>
      </c>
      <c r="D289" s="387">
        <f>VLOOKUP(A289,'Evento Cotiz'!$W$49:$Y$455,3,FALSE)</f>
        <v>0</v>
      </c>
      <c r="E289" s="422">
        <f>VLOOKUP(A289,'Evento Cotiz'!$A$49:$T$459,12,FALSE)</f>
        <v>79671.676800000001</v>
      </c>
      <c r="F289" s="427">
        <f>VLOOKUP(A289,'Evento Cotiz'!$A$49:$T$459,13,FALSE)</f>
        <v>2194.3424</v>
      </c>
      <c r="G289" s="428">
        <f>Tabla1[[#This Row],[Cantidad]]*Tabla1[[#This Row],[P Piso]]</f>
        <v>0</v>
      </c>
      <c r="H289" s="433">
        <f>Tabla1[[#This Row],[P Piso]]-(Tabla1[[#This Row],[P Piso]]*20%)</f>
        <v>1755.4739199999999</v>
      </c>
      <c r="I289" s="434">
        <f>IF((1-(Tabla1[[#This Row],[P Piso-20%]]/Tabla1[[#This Row],[P Oferta]]))=1,0,1-(Tabla1[[#This Row],[P Piso-20%]]/Tabla1[[#This Row],[P Oferta]]))</f>
        <v>0.97796614819082106</v>
      </c>
      <c r="J289" s="439">
        <f>Tabla1[[#This Row],[P Piso]]-(Tabla1[[#This Row],[P Piso]]*25%)</f>
        <v>1645.7568000000001</v>
      </c>
      <c r="K289" s="440">
        <f>IF((1-(Tabla1[[#This Row],[P Piso-25%]]/Tabla1[[#This Row],[P Oferta]]))=1,0,1-(Tabla1[[#This Row],[P Piso-25%]]/Tabla1[[#This Row],[P Oferta]]))</f>
        <v>0.9793432639288947</v>
      </c>
      <c r="L289" s="379"/>
      <c r="M289" s="469">
        <v>285</v>
      </c>
      <c r="N289" s="473"/>
      <c r="O289" s="473"/>
      <c r="P289" s="474"/>
      <c r="Q289" s="381"/>
      <c r="R289" s="380"/>
      <c r="S289" s="381"/>
      <c r="T289" s="106"/>
      <c r="W289" s="377">
        <v>0</v>
      </c>
    </row>
    <row r="290" spans="1:23" ht="13.5" customHeight="1">
      <c r="A290" s="477">
        <v>282</v>
      </c>
      <c r="B290" s="478" t="s">
        <v>269</v>
      </c>
      <c r="C290" s="378" t="s">
        <v>365</v>
      </c>
      <c r="D290" s="387">
        <f>VLOOKUP(A290,'Evento Cotiz'!$W$49:$Y$455,3,FALSE)</f>
        <v>0</v>
      </c>
      <c r="E290" s="422">
        <f>VLOOKUP(A290,'Evento Cotiz'!$A$49:$T$459,12,FALSE)</f>
        <v>468806.82880000002</v>
      </c>
      <c r="F290" s="427">
        <f>VLOOKUP(A290,'Evento Cotiz'!$A$49:$T$459,13,FALSE)</f>
        <v>10875.545599999999</v>
      </c>
      <c r="G290" s="428">
        <f>Tabla1[[#This Row],[Cantidad]]*Tabla1[[#This Row],[P Piso]]</f>
        <v>0</v>
      </c>
      <c r="H290" s="433">
        <f>Tabla1[[#This Row],[P Piso]]-(Tabla1[[#This Row],[P Piso]]*20%)</f>
        <v>8700.4364800000003</v>
      </c>
      <c r="I290" s="434">
        <f>IF((1-(Tabla1[[#This Row],[P Piso-20%]]/Tabla1[[#This Row],[P Oferta]]))=1,0,1-(Tabla1[[#This Row],[P Piso-20%]]/Tabla1[[#This Row],[P Oferta]]))</f>
        <v>0.98144131880017527</v>
      </c>
      <c r="J290" s="439">
        <f>Tabla1[[#This Row],[P Piso]]-(Tabla1[[#This Row],[P Piso]]*25%)</f>
        <v>8156.6592000000001</v>
      </c>
      <c r="K290" s="440">
        <f>IF((1-(Tabla1[[#This Row],[P Piso-25%]]/Tabla1[[#This Row],[P Oferta]]))=1,0,1-(Tabla1[[#This Row],[P Piso-25%]]/Tabla1[[#This Row],[P Oferta]]))</f>
        <v>0.98260123637516439</v>
      </c>
      <c r="L290" s="379"/>
      <c r="M290" s="469">
        <v>286</v>
      </c>
      <c r="N290" s="473"/>
      <c r="O290" s="473"/>
      <c r="P290" s="474"/>
      <c r="Q290" s="381"/>
      <c r="R290" s="380"/>
      <c r="S290" s="381"/>
      <c r="T290" s="106"/>
      <c r="W290" s="377">
        <v>0</v>
      </c>
    </row>
    <row r="291" spans="1:23">
      <c r="A291" s="477">
        <v>283</v>
      </c>
      <c r="B291" s="478" t="s">
        <v>270</v>
      </c>
      <c r="C291" s="378" t="s">
        <v>366</v>
      </c>
      <c r="D291" s="387">
        <f>VLOOKUP(A291,'Evento Cotiz'!$W$49:$Y$455,3,FALSE)</f>
        <v>0</v>
      </c>
      <c r="E291" s="422">
        <f>VLOOKUP(A291,'Evento Cotiz'!$A$49:$T$459,12,FALSE)</f>
        <v>33475.742400000003</v>
      </c>
      <c r="F291" s="427">
        <f>VLOOKUP(A291,'Evento Cotiz'!$A$49:$T$459,13,FALSE)</f>
        <v>11601.1648</v>
      </c>
      <c r="G291" s="428">
        <f>Tabla1[[#This Row],[Cantidad]]*Tabla1[[#This Row],[P Piso]]</f>
        <v>0</v>
      </c>
      <c r="H291" s="433">
        <f>Tabla1[[#This Row],[P Piso]]-(Tabla1[[#This Row],[P Piso]]*20%)</f>
        <v>9280.9318400000011</v>
      </c>
      <c r="I291" s="434">
        <f>IF((1-(Tabla1[[#This Row],[P Piso-20%]]/Tabla1[[#This Row],[P Oferta]]))=1,0,1-(Tabla1[[#This Row],[P Piso-20%]]/Tabla1[[#This Row],[P Oferta]]))</f>
        <v>0.72275650442333428</v>
      </c>
      <c r="J291" s="439">
        <f>Tabla1[[#This Row],[P Piso]]-(Tabla1[[#This Row],[P Piso]]*25%)</f>
        <v>8700.8736000000008</v>
      </c>
      <c r="K291" s="440">
        <f>IF((1-(Tabla1[[#This Row],[P Piso-25%]]/Tabla1[[#This Row],[P Oferta]]))=1,0,1-(Tabla1[[#This Row],[P Piso-25%]]/Tabla1[[#This Row],[P Oferta]]))</f>
        <v>0.74008422289687592</v>
      </c>
      <c r="L291" s="379"/>
      <c r="M291" s="469">
        <v>287</v>
      </c>
      <c r="N291" s="473"/>
      <c r="O291" s="473"/>
      <c r="P291" s="474"/>
      <c r="Q291" s="381"/>
      <c r="R291" s="380"/>
      <c r="S291" s="381"/>
      <c r="T291" s="106"/>
      <c r="W291" s="377">
        <v>1</v>
      </c>
    </row>
    <row r="292" spans="1:23" ht="13.5" customHeight="1">
      <c r="A292" s="477">
        <v>284</v>
      </c>
      <c r="B292" s="478" t="s">
        <v>270</v>
      </c>
      <c r="C292" s="378" t="s">
        <v>365</v>
      </c>
      <c r="D292" s="387">
        <f>VLOOKUP(A292,'Evento Cotiz'!$W$49:$Y$455,3,FALSE)</f>
        <v>0</v>
      </c>
      <c r="E292" s="422">
        <f>VLOOKUP(A292,'Evento Cotiz'!$A$49:$T$459,12,FALSE)</f>
        <v>521220.79519999999</v>
      </c>
      <c r="F292" s="427">
        <f>VLOOKUP(A292,'Evento Cotiz'!$A$49:$T$459,13,FALSE)</f>
        <v>11601.1648</v>
      </c>
      <c r="G292" s="428">
        <f>Tabla1[[#This Row],[Cantidad]]*Tabla1[[#This Row],[P Piso]]</f>
        <v>0</v>
      </c>
      <c r="H292" s="433">
        <f>Tabla1[[#This Row],[P Piso]]-(Tabla1[[#This Row],[P Piso]]*20%)</f>
        <v>9280.9318400000011</v>
      </c>
      <c r="I292" s="434">
        <f>IF((1-(Tabla1[[#This Row],[P Piso-20%]]/Tabla1[[#This Row],[P Oferta]]))=1,0,1-(Tabla1[[#This Row],[P Piso-20%]]/Tabla1[[#This Row],[P Oferta]]))</f>
        <v>0.98219385733364928</v>
      </c>
      <c r="J292" s="439">
        <f>Tabla1[[#This Row],[P Piso]]-(Tabla1[[#This Row],[P Piso]]*25%)</f>
        <v>8700.8736000000008</v>
      </c>
      <c r="K292" s="440">
        <f>IF((1-(Tabla1[[#This Row],[P Piso-25%]]/Tabla1[[#This Row],[P Oferta]]))=1,0,1-(Tabla1[[#This Row],[P Piso-25%]]/Tabla1[[#This Row],[P Oferta]]))</f>
        <v>0.98330674125029616</v>
      </c>
      <c r="L292" s="379"/>
      <c r="M292" s="469">
        <v>288</v>
      </c>
      <c r="N292" s="473"/>
      <c r="O292" s="473"/>
      <c r="P292" s="474"/>
      <c r="Q292" s="381"/>
      <c r="R292" s="380"/>
      <c r="S292" s="381"/>
      <c r="T292" s="106"/>
      <c r="W292" s="377">
        <v>0</v>
      </c>
    </row>
    <row r="293" spans="1:23">
      <c r="A293" s="477">
        <v>285</v>
      </c>
      <c r="B293" s="478" t="s">
        <v>271</v>
      </c>
      <c r="C293" s="378" t="s">
        <v>366</v>
      </c>
      <c r="D293" s="387">
        <f>VLOOKUP(A293,'Evento Cotiz'!$W$49:$Y$455,3,FALSE)</f>
        <v>0</v>
      </c>
      <c r="E293" s="422">
        <f>VLOOKUP(A293,'Evento Cotiz'!$A$49:$T$459,12,FALSE)</f>
        <v>59905.110399999998</v>
      </c>
      <c r="F293" s="427">
        <f>VLOOKUP(A293,'Evento Cotiz'!$A$49:$T$459,13,FALSE)</f>
        <v>23776.049599999998</v>
      </c>
      <c r="G293" s="428">
        <f>Tabla1[[#This Row],[Cantidad]]*Tabla1[[#This Row],[P Piso]]</f>
        <v>0</v>
      </c>
      <c r="H293" s="433">
        <f>Tabla1[[#This Row],[P Piso]]-(Tabla1[[#This Row],[P Piso]]*20%)</f>
        <v>19020.839679999997</v>
      </c>
      <c r="I293" s="434">
        <f>IF((1-(Tabla1[[#This Row],[P Piso-20%]]/Tabla1[[#This Row],[P Oferta]]))=1,0,1-(Tabla1[[#This Row],[P Piso-20%]]/Tabla1[[#This Row],[P Oferta]]))</f>
        <v>0.68248385566784631</v>
      </c>
      <c r="J293" s="439">
        <f>Tabla1[[#This Row],[P Piso]]-(Tabla1[[#This Row],[P Piso]]*25%)</f>
        <v>17832.037199999999</v>
      </c>
      <c r="K293" s="440">
        <f>IF((1-(Tabla1[[#This Row],[P Piso-25%]]/Tabla1[[#This Row],[P Oferta]]))=1,0,1-(Tabla1[[#This Row],[P Piso-25%]]/Tabla1[[#This Row],[P Oferta]]))</f>
        <v>0.70232861468860597</v>
      </c>
      <c r="L293" s="379"/>
      <c r="M293" s="469">
        <v>289</v>
      </c>
      <c r="N293" s="473"/>
      <c r="O293" s="473"/>
      <c r="P293" s="474"/>
      <c r="Q293" s="381"/>
      <c r="R293" s="380"/>
      <c r="S293" s="381"/>
      <c r="T293" s="106"/>
      <c r="W293" s="377">
        <v>1</v>
      </c>
    </row>
    <row r="294" spans="1:23" ht="13.5" customHeight="1">
      <c r="A294" s="477">
        <v>286</v>
      </c>
      <c r="B294" s="478" t="s">
        <v>271</v>
      </c>
      <c r="C294" s="378" t="s">
        <v>365</v>
      </c>
      <c r="D294" s="387">
        <f>VLOOKUP(A294,'Evento Cotiz'!$W$49:$Y$455,3,FALSE)</f>
        <v>0</v>
      </c>
      <c r="E294" s="422">
        <f>VLOOKUP(A294,'Evento Cotiz'!$A$49:$T$459,12,FALSE)</f>
        <v>1031352.9488</v>
      </c>
      <c r="F294" s="427">
        <f>VLOOKUP(A294,'Evento Cotiz'!$A$49:$T$459,13,FALSE)</f>
        <v>23776.049599999998</v>
      </c>
      <c r="G294" s="428">
        <f>Tabla1[[#This Row],[Cantidad]]*Tabla1[[#This Row],[P Piso]]</f>
        <v>0</v>
      </c>
      <c r="H294" s="433">
        <f>Tabla1[[#This Row],[P Piso]]-(Tabla1[[#This Row],[P Piso]]*20%)</f>
        <v>19020.839679999997</v>
      </c>
      <c r="I294" s="434">
        <f>IF((1-(Tabla1[[#This Row],[P Piso-20%]]/Tabla1[[#This Row],[P Oferta]]))=1,0,1-(Tabla1[[#This Row],[P Piso-20%]]/Tabla1[[#This Row],[P Oferta]]))</f>
        <v>0.98155739051104562</v>
      </c>
      <c r="J294" s="439">
        <f>Tabla1[[#This Row],[P Piso]]-(Tabla1[[#This Row],[P Piso]]*25%)</f>
        <v>17832.037199999999</v>
      </c>
      <c r="K294" s="440">
        <f>IF((1-(Tabla1[[#This Row],[P Piso-25%]]/Tabla1[[#This Row],[P Oferta]]))=1,0,1-(Tabla1[[#This Row],[P Piso-25%]]/Tabla1[[#This Row],[P Oferta]]))</f>
        <v>0.98271005360410524</v>
      </c>
      <c r="L294" s="379"/>
      <c r="M294" s="469">
        <v>290</v>
      </c>
      <c r="N294" s="473"/>
      <c r="O294" s="473"/>
      <c r="P294" s="474"/>
      <c r="Q294" s="381"/>
      <c r="R294" s="380"/>
      <c r="S294" s="381"/>
      <c r="T294" s="106"/>
      <c r="W294" s="377">
        <v>0</v>
      </c>
    </row>
    <row r="295" spans="1:23" ht="13.5" customHeight="1">
      <c r="A295" s="477">
        <v>287</v>
      </c>
      <c r="B295" s="478" t="s">
        <v>272</v>
      </c>
      <c r="C295" s="378" t="s">
        <v>366</v>
      </c>
      <c r="D295" s="387">
        <f>VLOOKUP(A295,'Evento Cotiz'!$W$49:$Y$455,3,FALSE)</f>
        <v>0</v>
      </c>
      <c r="E295" s="422">
        <f>VLOOKUP(A295,'Evento Cotiz'!$A$49:$T$459,12,FALSE)</f>
        <v>59571.806400000001</v>
      </c>
      <c r="F295" s="427">
        <f>VLOOKUP(A295,'Evento Cotiz'!$A$49:$T$459,13,FALSE)</f>
        <v>22640.630399999998</v>
      </c>
      <c r="G295" s="428">
        <f>Tabla1[[#This Row],[Cantidad]]*Tabla1[[#This Row],[P Piso]]</f>
        <v>0</v>
      </c>
      <c r="H295" s="433">
        <f>Tabla1[[#This Row],[P Piso]]-(Tabla1[[#This Row],[P Piso]]*20%)</f>
        <v>18112.50432</v>
      </c>
      <c r="I295" s="434">
        <f>IF((1-(Tabla1[[#This Row],[P Piso-20%]]/Tabla1[[#This Row],[P Oferta]]))=1,0,1-(Tabla1[[#This Row],[P Piso-20%]]/Tabla1[[#This Row],[P Oferta]]))</f>
        <v>0.69595509328050187</v>
      </c>
      <c r="J295" s="439">
        <f>Tabla1[[#This Row],[P Piso]]-(Tabla1[[#This Row],[P Piso]]*25%)</f>
        <v>16980.4728</v>
      </c>
      <c r="K295" s="440">
        <f>IF((1-(Tabla1[[#This Row],[P Piso-25%]]/Tabla1[[#This Row],[P Oferta]]))=1,0,1-(Tabla1[[#This Row],[P Piso-25%]]/Tabla1[[#This Row],[P Oferta]]))</f>
        <v>0.71495789995047054</v>
      </c>
      <c r="L295" s="379"/>
      <c r="M295" s="469">
        <v>291</v>
      </c>
      <c r="N295" s="473"/>
      <c r="O295" s="473"/>
      <c r="P295" s="474"/>
      <c r="Q295" s="381"/>
      <c r="R295" s="380"/>
      <c r="S295" s="381"/>
      <c r="T295" s="106"/>
      <c r="W295" s="377">
        <v>0</v>
      </c>
    </row>
    <row r="296" spans="1:23" ht="13.5" customHeight="1">
      <c r="A296" s="477">
        <v>288</v>
      </c>
      <c r="B296" s="478" t="s">
        <v>272</v>
      </c>
      <c r="C296" s="378" t="s">
        <v>365</v>
      </c>
      <c r="D296" s="387">
        <f>VLOOKUP(A296,'Evento Cotiz'!$W$49:$Y$455,3,FALSE)</f>
        <v>0</v>
      </c>
      <c r="E296" s="422">
        <f>VLOOKUP(A296,'Evento Cotiz'!$A$49:$T$459,12,FALSE)</f>
        <v>992598.98239999998</v>
      </c>
      <c r="F296" s="427">
        <f>VLOOKUP(A296,'Evento Cotiz'!$A$49:$T$459,13,FALSE)</f>
        <v>22640.630399999998</v>
      </c>
      <c r="G296" s="428">
        <f>Tabla1[[#This Row],[Cantidad]]*Tabla1[[#This Row],[P Piso]]</f>
        <v>0</v>
      </c>
      <c r="H296" s="433">
        <f>Tabla1[[#This Row],[P Piso]]-(Tabla1[[#This Row],[P Piso]]*20%)</f>
        <v>18112.50432</v>
      </c>
      <c r="I296" s="434">
        <f>IF((1-(Tabla1[[#This Row],[P Piso-20%]]/Tabla1[[#This Row],[P Oferta]]))=1,0,1-(Tabla1[[#This Row],[P Piso-20%]]/Tabla1[[#This Row],[P Oferta]]))</f>
        <v>0.98175244520581129</v>
      </c>
      <c r="J296" s="439">
        <f>Tabla1[[#This Row],[P Piso]]-(Tabla1[[#This Row],[P Piso]]*25%)</f>
        <v>16980.4728</v>
      </c>
      <c r="K296" s="440">
        <f>IF((1-(Tabla1[[#This Row],[P Piso-25%]]/Tabla1[[#This Row],[P Oferta]]))=1,0,1-(Tabla1[[#This Row],[P Piso-25%]]/Tabla1[[#This Row],[P Oferta]]))</f>
        <v>0.98289291738044804</v>
      </c>
      <c r="L296" s="379"/>
      <c r="M296" s="469">
        <v>292</v>
      </c>
      <c r="N296" s="473"/>
      <c r="O296" s="473"/>
      <c r="P296" s="474"/>
      <c r="Q296" s="381"/>
      <c r="R296" s="380"/>
      <c r="S296" s="381"/>
      <c r="T296" s="106"/>
      <c r="W296" s="377">
        <v>0</v>
      </c>
    </row>
    <row r="297" spans="1:23" ht="13.5" customHeight="1">
      <c r="A297" s="477">
        <v>289</v>
      </c>
      <c r="B297" s="478" t="s">
        <v>273</v>
      </c>
      <c r="C297" s="378" t="s">
        <v>366</v>
      </c>
      <c r="D297" s="387">
        <f>VLOOKUP(A297,'Evento Cotiz'!$W$49:$Y$455,3,FALSE)</f>
        <v>0</v>
      </c>
      <c r="E297" s="422">
        <f>VLOOKUP(A297,'Evento Cotiz'!$A$49:$T$459,12,FALSE)</f>
        <v>12114.7808</v>
      </c>
      <c r="F297" s="427">
        <f>VLOOKUP(A297,'Evento Cotiz'!$A$49:$T$459,13,FALSE)</f>
        <v>2592.1215999999999</v>
      </c>
      <c r="G297" s="428">
        <f>Tabla1[[#This Row],[Cantidad]]*Tabla1[[#This Row],[P Piso]]</f>
        <v>0</v>
      </c>
      <c r="H297" s="433">
        <f>Tabla1[[#This Row],[P Piso]]-(Tabla1[[#This Row],[P Piso]]*20%)</f>
        <v>2073.6972799999999</v>
      </c>
      <c r="I297" s="434">
        <f>IF((1-(Tabla1[[#This Row],[P Piso-20%]]/Tabla1[[#This Row],[P Oferta]]))=1,0,1-(Tabla1[[#This Row],[P Piso-20%]]/Tabla1[[#This Row],[P Oferta]]))</f>
        <v>0.82882915388778644</v>
      </c>
      <c r="J297" s="439">
        <f>Tabla1[[#This Row],[P Piso]]-(Tabla1[[#This Row],[P Piso]]*25%)</f>
        <v>1944.0911999999998</v>
      </c>
      <c r="K297" s="440">
        <f>IF((1-(Tabla1[[#This Row],[P Piso-25%]]/Tabla1[[#This Row],[P Oferta]]))=1,0,1-(Tabla1[[#This Row],[P Piso-25%]]/Tabla1[[#This Row],[P Oferta]]))</f>
        <v>0.83952733176979977</v>
      </c>
      <c r="L297" s="379"/>
      <c r="M297" s="469">
        <v>293</v>
      </c>
      <c r="N297" s="473"/>
      <c r="O297" s="473"/>
      <c r="P297" s="474"/>
      <c r="Q297" s="381"/>
      <c r="R297" s="380"/>
      <c r="S297" s="381"/>
      <c r="T297" s="106"/>
      <c r="W297" s="377">
        <v>0</v>
      </c>
    </row>
    <row r="298" spans="1:23" ht="13.5" customHeight="1">
      <c r="A298" s="477">
        <v>290</v>
      </c>
      <c r="B298" s="478" t="s">
        <v>273</v>
      </c>
      <c r="C298" s="378" t="s">
        <v>365</v>
      </c>
      <c r="D298" s="387">
        <f>VLOOKUP(A298,'Evento Cotiz'!$W$49:$Y$455,3,FALSE)</f>
        <v>0</v>
      </c>
      <c r="E298" s="422">
        <f>VLOOKUP(A298,'Evento Cotiz'!$A$49:$T$459,12,FALSE)</f>
        <v>112826.136</v>
      </c>
      <c r="F298" s="427">
        <f>VLOOKUP(A298,'Evento Cotiz'!$A$49:$T$459,13,FALSE)</f>
        <v>2592.1215999999999</v>
      </c>
      <c r="G298" s="428">
        <f>Tabla1[[#This Row],[Cantidad]]*Tabla1[[#This Row],[P Piso]]</f>
        <v>0</v>
      </c>
      <c r="H298" s="433">
        <f>Tabla1[[#This Row],[P Piso]]-(Tabla1[[#This Row],[P Piso]]*20%)</f>
        <v>2073.6972799999999</v>
      </c>
      <c r="I298" s="434">
        <f>IF((1-(Tabla1[[#This Row],[P Piso-20%]]/Tabla1[[#This Row],[P Oferta]]))=1,0,1-(Tabla1[[#This Row],[P Piso-20%]]/Tabla1[[#This Row],[P Oferta]]))</f>
        <v>0.98162041745362971</v>
      </c>
      <c r="J298" s="439">
        <f>Tabla1[[#This Row],[P Piso]]-(Tabla1[[#This Row],[P Piso]]*25%)</f>
        <v>1944.0911999999998</v>
      </c>
      <c r="K298" s="440">
        <f>IF((1-(Tabla1[[#This Row],[P Piso-25%]]/Tabla1[[#This Row],[P Oferta]]))=1,0,1-(Tabla1[[#This Row],[P Piso-25%]]/Tabla1[[#This Row],[P Oferta]]))</f>
        <v>0.98276914136277782</v>
      </c>
      <c r="L298" s="379"/>
      <c r="M298" s="469">
        <v>294</v>
      </c>
      <c r="N298" s="473"/>
      <c r="O298" s="473"/>
      <c r="P298" s="474"/>
      <c r="Q298" s="381"/>
      <c r="R298" s="380"/>
      <c r="S298" s="381"/>
      <c r="T298" s="106"/>
      <c r="W298" s="377">
        <v>0</v>
      </c>
    </row>
    <row r="299" spans="1:23" ht="13.5" customHeight="1">
      <c r="A299" s="477">
        <v>291</v>
      </c>
      <c r="B299" s="478" t="s">
        <v>274</v>
      </c>
      <c r="C299" s="378" t="s">
        <v>366</v>
      </c>
      <c r="D299" s="387">
        <f>VLOOKUP(A299,'Evento Cotiz'!$W$49:$Y$455,3,FALSE)</f>
        <v>0</v>
      </c>
      <c r="E299" s="422">
        <f>VLOOKUP(A299,'Evento Cotiz'!$A$49:$T$459,12,FALSE)</f>
        <v>16836.7696</v>
      </c>
      <c r="F299" s="427">
        <f>VLOOKUP(A299,'Evento Cotiz'!$A$49:$T$459,13,FALSE)</f>
        <v>6139.3504000000003</v>
      </c>
      <c r="G299" s="428">
        <f>Tabla1[[#This Row],[Cantidad]]*Tabla1[[#This Row],[P Piso]]</f>
        <v>0</v>
      </c>
      <c r="H299" s="433">
        <f>Tabla1[[#This Row],[P Piso]]-(Tabla1[[#This Row],[P Piso]]*20%)</f>
        <v>4911.4803200000006</v>
      </c>
      <c r="I299" s="434">
        <f>IF((1-(Tabla1[[#This Row],[P Piso-20%]]/Tabla1[[#This Row],[P Oferta]]))=1,0,1-(Tabla1[[#This Row],[P Piso-20%]]/Tabla1[[#This Row],[P Oferta]]))</f>
        <v>0.70828844031933524</v>
      </c>
      <c r="J299" s="439">
        <f>Tabla1[[#This Row],[P Piso]]-(Tabla1[[#This Row],[P Piso]]*25%)</f>
        <v>4604.5128000000004</v>
      </c>
      <c r="K299" s="440">
        <f>IF((1-(Tabla1[[#This Row],[P Piso-25%]]/Tabla1[[#This Row],[P Oferta]]))=1,0,1-(Tabla1[[#This Row],[P Piso-25%]]/Tabla1[[#This Row],[P Oferta]]))</f>
        <v>0.72652041279937696</v>
      </c>
      <c r="L299" s="379"/>
      <c r="M299" s="469">
        <v>295</v>
      </c>
      <c r="N299" s="473"/>
      <c r="O299" s="473"/>
      <c r="P299" s="474"/>
      <c r="Q299" s="381"/>
      <c r="R299" s="380"/>
      <c r="S299" s="381"/>
      <c r="T299" s="106"/>
      <c r="W299" s="377">
        <v>0</v>
      </c>
    </row>
    <row r="300" spans="1:23" ht="13.5" customHeight="1">
      <c r="A300" s="477">
        <v>292</v>
      </c>
      <c r="B300" s="478" t="s">
        <v>274</v>
      </c>
      <c r="C300" s="378" t="s">
        <v>365</v>
      </c>
      <c r="D300" s="387">
        <f>VLOOKUP(A300,'Evento Cotiz'!$W$49:$Y$455,3,FALSE)</f>
        <v>0</v>
      </c>
      <c r="E300" s="422">
        <f>VLOOKUP(A300,'Evento Cotiz'!$A$49:$T$459,12,FALSE)</f>
        <v>253700.07680000001</v>
      </c>
      <c r="F300" s="427">
        <f>VLOOKUP(A300,'Evento Cotiz'!$A$49:$T$459,13,FALSE)</f>
        <v>6139.3504000000003</v>
      </c>
      <c r="G300" s="428">
        <f>Tabla1[[#This Row],[Cantidad]]*Tabla1[[#This Row],[P Piso]]</f>
        <v>0</v>
      </c>
      <c r="H300" s="433">
        <f>Tabla1[[#This Row],[P Piso]]-(Tabla1[[#This Row],[P Piso]]*20%)</f>
        <v>4911.4803200000006</v>
      </c>
      <c r="I300" s="434">
        <f>IF((1-(Tabla1[[#This Row],[P Piso-20%]]/Tabla1[[#This Row],[P Oferta]]))=1,0,1-(Tabla1[[#This Row],[P Piso-20%]]/Tabla1[[#This Row],[P Oferta]]))</f>
        <v>0.98064060373197337</v>
      </c>
      <c r="J300" s="439">
        <f>Tabla1[[#This Row],[P Piso]]-(Tabla1[[#This Row],[P Piso]]*25%)</f>
        <v>4604.5128000000004</v>
      </c>
      <c r="K300" s="440">
        <f>IF((1-(Tabla1[[#This Row],[P Piso-25%]]/Tabla1[[#This Row],[P Oferta]]))=1,0,1-(Tabla1[[#This Row],[P Piso-25%]]/Tabla1[[#This Row],[P Oferta]]))</f>
        <v>0.981850565998725</v>
      </c>
      <c r="L300" s="379"/>
      <c r="M300" s="469">
        <v>296</v>
      </c>
      <c r="N300" s="473"/>
      <c r="O300" s="473"/>
      <c r="P300" s="474"/>
      <c r="Q300" s="381"/>
      <c r="R300" s="380"/>
      <c r="S300" s="381"/>
      <c r="T300" s="106"/>
      <c r="W300" s="377">
        <v>0</v>
      </c>
    </row>
    <row r="301" spans="1:23" ht="13.5" customHeight="1">
      <c r="A301" s="477">
        <v>293</v>
      </c>
      <c r="B301" s="478" t="s">
        <v>275</v>
      </c>
      <c r="C301" s="378" t="s">
        <v>366</v>
      </c>
      <c r="D301" s="387">
        <f>VLOOKUP(A301,'Evento Cotiz'!$W$49:$Y$455,3,FALSE)</f>
        <v>0</v>
      </c>
      <c r="E301" s="422">
        <f>VLOOKUP(A301,'Evento Cotiz'!$A$49:$T$459,12,FALSE)</f>
        <v>58829.7952</v>
      </c>
      <c r="F301" s="427">
        <f>VLOOKUP(A301,'Evento Cotiz'!$A$49:$T$459,13,FALSE)</f>
        <v>9460.3696</v>
      </c>
      <c r="G301" s="428">
        <f>Tabla1[[#This Row],[Cantidad]]*Tabla1[[#This Row],[P Piso]]</f>
        <v>0</v>
      </c>
      <c r="H301" s="433">
        <f>Tabla1[[#This Row],[P Piso]]-(Tabla1[[#This Row],[P Piso]]*20%)</f>
        <v>7568.2956800000002</v>
      </c>
      <c r="I301" s="434">
        <f>IF((1-(Tabla1[[#This Row],[P Piso-20%]]/Tabla1[[#This Row],[P Oferta]]))=1,0,1-(Tabla1[[#This Row],[P Piso-20%]]/Tabla1[[#This Row],[P Oferta]]))</f>
        <v>0.8713526767470372</v>
      </c>
      <c r="J301" s="439">
        <f>Tabla1[[#This Row],[P Piso]]-(Tabla1[[#This Row],[P Piso]]*25%)</f>
        <v>7095.2772000000004</v>
      </c>
      <c r="K301" s="440">
        <f>IF((1-(Tabla1[[#This Row],[P Piso-25%]]/Tabla1[[#This Row],[P Oferta]]))=1,0,1-(Tabla1[[#This Row],[P Piso-25%]]/Tabla1[[#This Row],[P Oferta]]))</f>
        <v>0.87939313445034739</v>
      </c>
      <c r="L301" s="379"/>
      <c r="M301" s="469">
        <v>297</v>
      </c>
      <c r="N301" s="473"/>
      <c r="O301" s="473"/>
      <c r="P301" s="474"/>
      <c r="Q301" s="381"/>
      <c r="R301" s="380"/>
      <c r="S301" s="381"/>
      <c r="T301" s="106"/>
      <c r="W301" s="377">
        <v>0</v>
      </c>
    </row>
    <row r="302" spans="1:23" ht="13.5" customHeight="1">
      <c r="A302" s="477">
        <v>294</v>
      </c>
      <c r="B302" s="478" t="s">
        <v>275</v>
      </c>
      <c r="C302" s="378" t="s">
        <v>365</v>
      </c>
      <c r="D302" s="387">
        <f>VLOOKUP(A302,'Evento Cotiz'!$W$49:$Y$455,3,FALSE)</f>
        <v>0</v>
      </c>
      <c r="E302" s="422">
        <f>VLOOKUP(A302,'Evento Cotiz'!$A$49:$T$459,12,FALSE)</f>
        <v>707091.86880000005</v>
      </c>
      <c r="F302" s="427">
        <f>VLOOKUP(A302,'Evento Cotiz'!$A$49:$T$459,13,FALSE)</f>
        <v>11980.366399999999</v>
      </c>
      <c r="G302" s="428">
        <f>Tabla1[[#This Row],[Cantidad]]*Tabla1[[#This Row],[P Piso]]</f>
        <v>0</v>
      </c>
      <c r="H302" s="433">
        <f>Tabla1[[#This Row],[P Piso]]-(Tabla1[[#This Row],[P Piso]]*20%)</f>
        <v>9584.2931199999985</v>
      </c>
      <c r="I302" s="434">
        <f>IF((1-(Tabla1[[#This Row],[P Piso-20%]]/Tabla1[[#This Row],[P Oferta]]))=1,0,1-(Tabla1[[#This Row],[P Piso-20%]]/Tabla1[[#This Row],[P Oferta]]))</f>
        <v>0.98644547682854078</v>
      </c>
      <c r="J302" s="439">
        <f>Tabla1[[#This Row],[P Piso]]-(Tabla1[[#This Row],[P Piso]]*25%)</f>
        <v>8985.2747999999992</v>
      </c>
      <c r="K302" s="440">
        <f>IF((1-(Tabla1[[#This Row],[P Piso-25%]]/Tabla1[[#This Row],[P Oferta]]))=1,0,1-(Tabla1[[#This Row],[P Piso-25%]]/Tabla1[[#This Row],[P Oferta]]))</f>
        <v>0.98729263452675697</v>
      </c>
      <c r="L302" s="379"/>
      <c r="M302" s="469">
        <v>298</v>
      </c>
      <c r="N302" s="473"/>
      <c r="O302" s="473"/>
      <c r="P302" s="474"/>
      <c r="Q302" s="381"/>
      <c r="R302" s="380"/>
      <c r="S302" s="381"/>
      <c r="T302" s="106"/>
      <c r="W302" s="377">
        <v>0</v>
      </c>
    </row>
    <row r="303" spans="1:23" ht="13.5" customHeight="1">
      <c r="A303" s="477">
        <v>295</v>
      </c>
      <c r="B303" s="478" t="s">
        <v>276</v>
      </c>
      <c r="C303" s="378" t="s">
        <v>366</v>
      </c>
      <c r="D303" s="387">
        <f>VLOOKUP(A303,'Evento Cotiz'!$W$49:$Y$455,3,FALSE)</f>
        <v>0</v>
      </c>
      <c r="E303" s="422">
        <f>VLOOKUP(A303,'Evento Cotiz'!$A$49:$T$459,12,FALSE)</f>
        <v>63922.243199999997</v>
      </c>
      <c r="F303" s="427">
        <f>VLOOKUP(A303,'Evento Cotiz'!$A$49:$T$459,13,FALSE)</f>
        <v>13580.2256</v>
      </c>
      <c r="G303" s="428">
        <f>Tabla1[[#This Row],[Cantidad]]*Tabla1[[#This Row],[P Piso]]</f>
        <v>0</v>
      </c>
      <c r="H303" s="433">
        <f>Tabla1[[#This Row],[P Piso]]-(Tabla1[[#This Row],[P Piso]]*20%)</f>
        <v>10864.180479999999</v>
      </c>
      <c r="I303" s="434">
        <f>IF((1-(Tabla1[[#This Row],[P Piso-20%]]/Tabla1[[#This Row],[P Oferta]]))=1,0,1-(Tabla1[[#This Row],[P Piso-20%]]/Tabla1[[#This Row],[P Oferta]]))</f>
        <v>0.83004068793380514</v>
      </c>
      <c r="J303" s="439">
        <f>Tabla1[[#This Row],[P Piso]]-(Tabla1[[#This Row],[P Piso]]*25%)</f>
        <v>10185.1692</v>
      </c>
      <c r="K303" s="440">
        <f>IF((1-(Tabla1[[#This Row],[P Piso-25%]]/Tabla1[[#This Row],[P Oferta]]))=1,0,1-(Tabla1[[#This Row],[P Piso-25%]]/Tabla1[[#This Row],[P Oferta]]))</f>
        <v>0.84066314493794236</v>
      </c>
      <c r="L303" s="379"/>
      <c r="M303" s="469">
        <v>299</v>
      </c>
      <c r="N303" s="473"/>
      <c r="O303" s="473"/>
      <c r="P303" s="474"/>
      <c r="Q303" s="381"/>
      <c r="R303" s="380"/>
      <c r="S303" s="381"/>
      <c r="T303" s="106"/>
      <c r="W303" s="377">
        <v>0</v>
      </c>
    </row>
    <row r="304" spans="1:23" ht="13.5" customHeight="1">
      <c r="A304" s="477">
        <v>296</v>
      </c>
      <c r="B304" s="478" t="s">
        <v>276</v>
      </c>
      <c r="C304" s="378" t="s">
        <v>365</v>
      </c>
      <c r="D304" s="387">
        <f>VLOOKUP(A304,'Evento Cotiz'!$W$49:$Y$455,3,FALSE)</f>
        <v>0</v>
      </c>
      <c r="E304" s="422">
        <f>VLOOKUP(A304,'Evento Cotiz'!$A$49:$T$459,12,FALSE)</f>
        <v>763363.4192</v>
      </c>
      <c r="F304" s="427">
        <f>VLOOKUP(A304,'Evento Cotiz'!$A$49:$T$459,13,FALSE)</f>
        <v>19464.953600000001</v>
      </c>
      <c r="G304" s="428">
        <f>Tabla1[[#This Row],[Cantidad]]*Tabla1[[#This Row],[P Piso]]</f>
        <v>0</v>
      </c>
      <c r="H304" s="433">
        <f>Tabla1[[#This Row],[P Piso]]-(Tabla1[[#This Row],[P Piso]]*20%)</f>
        <v>15571.962880000001</v>
      </c>
      <c r="I304" s="434">
        <f>IF((1-(Tabla1[[#This Row],[P Piso-20%]]/Tabla1[[#This Row],[P Oferta]]))=1,0,1-(Tabla1[[#This Row],[P Piso-20%]]/Tabla1[[#This Row],[P Oferta]]))</f>
        <v>0.97960085263671748</v>
      </c>
      <c r="J304" s="439">
        <f>Tabla1[[#This Row],[P Piso]]-(Tabla1[[#This Row],[P Piso]]*25%)</f>
        <v>14598.715200000001</v>
      </c>
      <c r="K304" s="440">
        <f>IF((1-(Tabla1[[#This Row],[P Piso-25%]]/Tabla1[[#This Row],[P Oferta]]))=1,0,1-(Tabla1[[#This Row],[P Piso-25%]]/Tabla1[[#This Row],[P Oferta]]))</f>
        <v>0.98087579934692259</v>
      </c>
      <c r="L304" s="379"/>
      <c r="M304" s="469">
        <v>300</v>
      </c>
      <c r="N304" s="473"/>
      <c r="O304" s="473"/>
      <c r="P304" s="474"/>
      <c r="Q304" s="381"/>
      <c r="R304" s="380"/>
      <c r="S304" s="381"/>
      <c r="T304" s="106"/>
      <c r="W304" s="377">
        <v>0</v>
      </c>
    </row>
    <row r="305" spans="1:23" ht="13.5" customHeight="1">
      <c r="A305" s="477">
        <v>297</v>
      </c>
      <c r="B305" s="478" t="s">
        <v>277</v>
      </c>
      <c r="C305" s="378" t="s">
        <v>366</v>
      </c>
      <c r="D305" s="387">
        <f>VLOOKUP(A305,'Evento Cotiz'!$W$49:$Y$455,3,FALSE)</f>
        <v>0</v>
      </c>
      <c r="E305" s="422">
        <f>VLOOKUP(A305,'Evento Cotiz'!$A$49:$T$459,12,FALSE)</f>
        <v>68669.366399999999</v>
      </c>
      <c r="F305" s="427">
        <f>VLOOKUP(A305,'Evento Cotiz'!$A$49:$T$459,13,FALSE)</f>
        <v>12006.5936</v>
      </c>
      <c r="G305" s="428">
        <f>Tabla1[[#This Row],[Cantidad]]*Tabla1[[#This Row],[P Piso]]</f>
        <v>0</v>
      </c>
      <c r="H305" s="433">
        <f>Tabla1[[#This Row],[P Piso]]-(Tabla1[[#This Row],[P Piso]]*20%)</f>
        <v>9605.2748800000008</v>
      </c>
      <c r="I305" s="434">
        <f>IF((1-(Tabla1[[#This Row],[P Piso-20%]]/Tabla1[[#This Row],[P Oferta]]))=1,0,1-(Tabla1[[#This Row],[P Piso-20%]]/Tabla1[[#This Row],[P Oferta]]))</f>
        <v>0.8601228555969318</v>
      </c>
      <c r="J305" s="439">
        <f>Tabla1[[#This Row],[P Piso]]-(Tabla1[[#This Row],[P Piso]]*25%)</f>
        <v>9004.9452000000001</v>
      </c>
      <c r="K305" s="440">
        <f>IF((1-(Tabla1[[#This Row],[P Piso-25%]]/Tabla1[[#This Row],[P Oferta]]))=1,0,1-(Tabla1[[#This Row],[P Piso-25%]]/Tabla1[[#This Row],[P Oferta]]))</f>
        <v>0.86886517712212352</v>
      </c>
      <c r="L305" s="379"/>
      <c r="M305" s="469">
        <v>301</v>
      </c>
      <c r="N305" s="473"/>
      <c r="O305" s="473"/>
      <c r="P305" s="474"/>
      <c r="Q305" s="381"/>
      <c r="R305" s="380"/>
      <c r="S305" s="381"/>
      <c r="T305" s="106"/>
      <c r="W305" s="377">
        <v>0</v>
      </c>
    </row>
    <row r="306" spans="1:23" ht="13.5" customHeight="1">
      <c r="A306" s="477">
        <v>298</v>
      </c>
      <c r="B306" s="478" t="s">
        <v>277</v>
      </c>
      <c r="C306" s="378" t="s">
        <v>365</v>
      </c>
      <c r="D306" s="387">
        <f>VLOOKUP(A306,'Evento Cotiz'!$W$49:$Y$455,3,FALSE)</f>
        <v>0</v>
      </c>
      <c r="E306" s="422">
        <f>VLOOKUP(A306,'Evento Cotiz'!$A$49:$T$459,12,FALSE)</f>
        <v>848585.42720000003</v>
      </c>
      <c r="F306" s="427">
        <f>VLOOKUP(A306,'Evento Cotiz'!$A$49:$T$459,13,FALSE)</f>
        <v>20071.457600000002</v>
      </c>
      <c r="G306" s="428">
        <f>Tabla1[[#This Row],[Cantidad]]*Tabla1[[#This Row],[P Piso]]</f>
        <v>0</v>
      </c>
      <c r="H306" s="433">
        <f>Tabla1[[#This Row],[P Piso]]-(Tabla1[[#This Row],[P Piso]]*20%)</f>
        <v>16057.166080000001</v>
      </c>
      <c r="I306" s="434">
        <f>IF((1-(Tabla1[[#This Row],[P Piso-20%]]/Tabla1[[#This Row],[P Oferta]]))=1,0,1-(Tabla1[[#This Row],[P Piso-20%]]/Tabla1[[#This Row],[P Oferta]]))</f>
        <v>0.98107772586552378</v>
      </c>
      <c r="J306" s="439">
        <f>Tabla1[[#This Row],[P Piso]]-(Tabla1[[#This Row],[P Piso]]*25%)</f>
        <v>15053.593200000001</v>
      </c>
      <c r="K306" s="440">
        <f>IF((1-(Tabla1[[#This Row],[P Piso-25%]]/Tabla1[[#This Row],[P Oferta]]))=1,0,1-(Tabla1[[#This Row],[P Piso-25%]]/Tabla1[[#This Row],[P Oferta]]))</f>
        <v>0.98226036799892857</v>
      </c>
      <c r="L306" s="379"/>
      <c r="M306" s="469">
        <v>302</v>
      </c>
      <c r="N306" s="473"/>
      <c r="O306" s="473"/>
      <c r="P306" s="474"/>
      <c r="Q306" s="381"/>
      <c r="R306" s="380"/>
      <c r="S306" s="381"/>
      <c r="T306" s="106"/>
      <c r="W306" s="377">
        <v>0</v>
      </c>
    </row>
    <row r="307" spans="1:23" ht="13.5" customHeight="1">
      <c r="A307" s="477">
        <v>299</v>
      </c>
      <c r="B307" s="478" t="s">
        <v>278</v>
      </c>
      <c r="C307" s="378" t="s">
        <v>366</v>
      </c>
      <c r="D307" s="387">
        <f>VLOOKUP(A307,'Evento Cotiz'!$W$49:$Y$455,3,FALSE)</f>
        <v>0</v>
      </c>
      <c r="E307" s="422">
        <f>VLOOKUP(A307,'Evento Cotiz'!$A$49:$T$459,12,FALSE)</f>
        <v>16972.2768</v>
      </c>
      <c r="F307" s="427">
        <f>VLOOKUP(A307,'Evento Cotiz'!$A$49:$T$459,13,FALSE)</f>
        <v>3337.4112</v>
      </c>
      <c r="G307" s="428">
        <f>Tabla1[[#This Row],[Cantidad]]*Tabla1[[#This Row],[P Piso]]</f>
        <v>0</v>
      </c>
      <c r="H307" s="433">
        <f>Tabla1[[#This Row],[P Piso]]-(Tabla1[[#This Row],[P Piso]]*20%)</f>
        <v>2669.9289600000002</v>
      </c>
      <c r="I307" s="434">
        <f>IF((1-(Tabla1[[#This Row],[P Piso-20%]]/Tabla1[[#This Row],[P Oferta]]))=1,0,1-(Tabla1[[#This Row],[P Piso-20%]]/Tabla1[[#This Row],[P Oferta]]))</f>
        <v>0.84268881591655398</v>
      </c>
      <c r="J307" s="439">
        <f>Tabla1[[#This Row],[P Piso]]-(Tabla1[[#This Row],[P Piso]]*25%)</f>
        <v>2503.0583999999999</v>
      </c>
      <c r="K307" s="440">
        <f>IF((1-(Tabla1[[#This Row],[P Piso-25%]]/Tabla1[[#This Row],[P Oferta]]))=1,0,1-(Tabla1[[#This Row],[P Piso-25%]]/Tabla1[[#This Row],[P Oferta]]))</f>
        <v>0.85252076492176943</v>
      </c>
      <c r="L307" s="379"/>
      <c r="M307" s="469">
        <v>303</v>
      </c>
      <c r="N307" s="473"/>
      <c r="O307" s="473"/>
      <c r="P307" s="474"/>
      <c r="Q307" s="381"/>
      <c r="R307" s="380"/>
      <c r="S307" s="381"/>
      <c r="T307" s="106"/>
      <c r="W307" s="377">
        <v>0</v>
      </c>
    </row>
    <row r="308" spans="1:23" ht="13.5" customHeight="1">
      <c r="A308" s="477">
        <v>300</v>
      </c>
      <c r="B308" s="478" t="s">
        <v>278</v>
      </c>
      <c r="C308" s="378" t="s">
        <v>365</v>
      </c>
      <c r="D308" s="387">
        <f>VLOOKUP(A308,'Evento Cotiz'!$W$49:$Y$455,3,FALSE)</f>
        <v>0</v>
      </c>
      <c r="E308" s="422">
        <f>VLOOKUP(A308,'Evento Cotiz'!$A$49:$T$459,12,FALSE)</f>
        <v>389197.44160000002</v>
      </c>
      <c r="F308" s="427">
        <f>VLOOKUP(A308,'Evento Cotiz'!$A$49:$T$459,13,FALSE)</f>
        <v>4244.4351999999999</v>
      </c>
      <c r="G308" s="428">
        <f>Tabla1[[#This Row],[Cantidad]]*Tabla1[[#This Row],[P Piso]]</f>
        <v>0</v>
      </c>
      <c r="H308" s="433">
        <f>Tabla1[[#This Row],[P Piso]]-(Tabla1[[#This Row],[P Piso]]*20%)</f>
        <v>3395.5481599999998</v>
      </c>
      <c r="I308" s="434">
        <f>IF((1-(Tabla1[[#This Row],[P Piso-20%]]/Tabla1[[#This Row],[P Oferta]]))=1,0,1-(Tabla1[[#This Row],[P Piso-20%]]/Tabla1[[#This Row],[P Oferta]]))</f>
        <v>0.9912755126394438</v>
      </c>
      <c r="J308" s="439">
        <f>Tabla1[[#This Row],[P Piso]]-(Tabla1[[#This Row],[P Piso]]*25%)</f>
        <v>3183.3263999999999</v>
      </c>
      <c r="K308" s="440">
        <f>IF((1-(Tabla1[[#This Row],[P Piso-25%]]/Tabla1[[#This Row],[P Oferta]]))=1,0,1-(Tabla1[[#This Row],[P Piso-25%]]/Tabla1[[#This Row],[P Oferta]]))</f>
        <v>0.99182079309947857</v>
      </c>
      <c r="L308" s="379"/>
      <c r="M308" s="469">
        <v>304</v>
      </c>
      <c r="N308" s="473"/>
      <c r="O308" s="473"/>
      <c r="P308" s="474"/>
      <c r="Q308" s="381"/>
      <c r="R308" s="380"/>
      <c r="S308" s="381"/>
      <c r="T308" s="106"/>
      <c r="W308" s="377">
        <v>0</v>
      </c>
    </row>
    <row r="309" spans="1:23" ht="13.5" customHeight="1">
      <c r="A309" s="477">
        <v>301</v>
      </c>
      <c r="B309" s="478" t="s">
        <v>279</v>
      </c>
      <c r="C309" s="378" t="s">
        <v>366</v>
      </c>
      <c r="D309" s="387">
        <f>VLOOKUP(A309,'Evento Cotiz'!$W$49:$Y$455,3,FALSE)</f>
        <v>0</v>
      </c>
      <c r="E309" s="422">
        <f>VLOOKUP(A309,'Evento Cotiz'!$A$49:$T$459,12,FALSE)</f>
        <v>19766.5664</v>
      </c>
      <c r="F309" s="427">
        <f>VLOOKUP(A309,'Evento Cotiz'!$A$49:$T$459,13,FALSE)</f>
        <v>4079.4223999999999</v>
      </c>
      <c r="G309" s="428">
        <f>Tabla1[[#This Row],[Cantidad]]*Tabla1[[#This Row],[P Piso]]</f>
        <v>0</v>
      </c>
      <c r="H309" s="433">
        <f>Tabla1[[#This Row],[P Piso]]-(Tabla1[[#This Row],[P Piso]]*20%)</f>
        <v>3263.5379199999998</v>
      </c>
      <c r="I309" s="434">
        <f>IF((1-(Tabla1[[#This Row],[P Piso-20%]]/Tabla1[[#This Row],[P Oferta]]))=1,0,1-(Tabla1[[#This Row],[P Piso-20%]]/Tabla1[[#This Row],[P Oferta]]))</f>
        <v>0.83489606368863334</v>
      </c>
      <c r="J309" s="439">
        <f>Tabla1[[#This Row],[P Piso]]-(Tabla1[[#This Row],[P Piso]]*25%)</f>
        <v>3059.5668000000001</v>
      </c>
      <c r="K309" s="440">
        <f>IF((1-(Tabla1[[#This Row],[P Piso-25%]]/Tabla1[[#This Row],[P Oferta]]))=1,0,1-(Tabla1[[#This Row],[P Piso-25%]]/Tabla1[[#This Row],[P Oferta]]))</f>
        <v>0.84521505970809374</v>
      </c>
      <c r="L309" s="379"/>
      <c r="M309" s="469">
        <v>305</v>
      </c>
      <c r="N309" s="473"/>
      <c r="O309" s="473"/>
      <c r="P309" s="474"/>
      <c r="Q309" s="381"/>
      <c r="R309" s="380"/>
      <c r="S309" s="381"/>
      <c r="T309" s="106"/>
      <c r="W309" s="377">
        <v>0</v>
      </c>
    </row>
    <row r="310" spans="1:23" ht="13.5" customHeight="1">
      <c r="A310" s="477">
        <v>303</v>
      </c>
      <c r="B310" s="478" t="s">
        <v>280</v>
      </c>
      <c r="C310" s="378" t="s">
        <v>366</v>
      </c>
      <c r="D310" s="387">
        <f>VLOOKUP(A310,'Evento Cotiz'!$W$49:$Y$455,3,FALSE)</f>
        <v>0</v>
      </c>
      <c r="E310" s="422">
        <f>VLOOKUP(A310,'Evento Cotiz'!$A$49:$T$459,12,FALSE)</f>
        <v>32573.089599999999</v>
      </c>
      <c r="F310" s="427">
        <f>VLOOKUP(A310,'Evento Cotiz'!$A$49:$T$459,13,FALSE)</f>
        <v>8787.2047999999995</v>
      </c>
      <c r="G310" s="428">
        <f>Tabla1[[#This Row],[Cantidad]]*Tabla1[[#This Row],[P Piso]]</f>
        <v>0</v>
      </c>
      <c r="H310" s="433">
        <f>Tabla1[[#This Row],[P Piso]]-(Tabla1[[#This Row],[P Piso]]*20%)</f>
        <v>7029.7638399999996</v>
      </c>
      <c r="I310" s="434">
        <f>IF((1-(Tabla1[[#This Row],[P Piso-20%]]/Tabla1[[#This Row],[P Oferta]]))=1,0,1-(Tabla1[[#This Row],[P Piso-20%]]/Tabla1[[#This Row],[P Oferta]]))</f>
        <v>0.78418492300466336</v>
      </c>
      <c r="J310" s="439">
        <f>Tabla1[[#This Row],[P Piso]]-(Tabla1[[#This Row],[P Piso]]*25%)</f>
        <v>6590.4035999999996</v>
      </c>
      <c r="K310" s="440">
        <f>IF((1-(Tabla1[[#This Row],[P Piso-25%]]/Tabla1[[#This Row],[P Oferta]]))=1,0,1-(Tabla1[[#This Row],[P Piso-25%]]/Tabla1[[#This Row],[P Oferta]]))</f>
        <v>0.79767336531687194</v>
      </c>
      <c r="L310" s="379"/>
      <c r="M310" s="469">
        <v>306</v>
      </c>
      <c r="N310" s="473"/>
      <c r="O310" s="473"/>
      <c r="P310" s="474"/>
      <c r="Q310" s="381"/>
      <c r="R310" s="380"/>
      <c r="S310" s="381"/>
      <c r="T310" s="106"/>
      <c r="W310" s="377">
        <v>0</v>
      </c>
    </row>
    <row r="311" spans="1:23" ht="13.5" customHeight="1">
      <c r="A311" s="477">
        <v>304</v>
      </c>
      <c r="B311" s="478" t="s">
        <v>280</v>
      </c>
      <c r="C311" s="378" t="s">
        <v>365</v>
      </c>
      <c r="D311" s="387">
        <f>VLOOKUP(A311,'Evento Cotiz'!$W$49:$Y$455,3,FALSE)</f>
        <v>0</v>
      </c>
      <c r="E311" s="422">
        <f>VLOOKUP(A311,'Evento Cotiz'!$A$49:$T$459,12,FALSE)</f>
        <v>304136.07520000002</v>
      </c>
      <c r="F311" s="427">
        <f>VLOOKUP(A311,'Evento Cotiz'!$A$49:$T$459,13,FALSE)</f>
        <v>8787.2047999999995</v>
      </c>
      <c r="G311" s="428">
        <f>Tabla1[[#This Row],[Cantidad]]*Tabla1[[#This Row],[P Piso]]</f>
        <v>0</v>
      </c>
      <c r="H311" s="433">
        <f>Tabla1[[#This Row],[P Piso]]-(Tabla1[[#This Row],[P Piso]]*20%)</f>
        <v>7029.7638399999996</v>
      </c>
      <c r="I311" s="434">
        <f>IF((1-(Tabla1[[#This Row],[P Piso-20%]]/Tabla1[[#This Row],[P Oferta]]))=1,0,1-(Tabla1[[#This Row],[P Piso-20%]]/Tabla1[[#This Row],[P Oferta]]))</f>
        <v>0.97688612297841604</v>
      </c>
      <c r="J311" s="439">
        <f>Tabla1[[#This Row],[P Piso]]-(Tabla1[[#This Row],[P Piso]]*25%)</f>
        <v>6590.4035999999996</v>
      </c>
      <c r="K311" s="440">
        <f>IF((1-(Tabla1[[#This Row],[P Piso-25%]]/Tabla1[[#This Row],[P Oferta]]))=1,0,1-(Tabla1[[#This Row],[P Piso-25%]]/Tabla1[[#This Row],[P Oferta]]))</f>
        <v>0.97833074029226508</v>
      </c>
      <c r="L311" s="379"/>
      <c r="M311" s="469">
        <v>307</v>
      </c>
      <c r="N311" s="473"/>
      <c r="O311" s="473"/>
      <c r="P311" s="474"/>
      <c r="Q311" s="381"/>
      <c r="R311" s="380"/>
      <c r="S311" s="381"/>
      <c r="T311" s="106"/>
      <c r="W311" s="377">
        <v>0</v>
      </c>
    </row>
    <row r="312" spans="1:23" ht="13.5" customHeight="1">
      <c r="A312" s="477">
        <v>305</v>
      </c>
      <c r="B312" s="478" t="s">
        <v>281</v>
      </c>
      <c r="C312" s="378" t="s">
        <v>365</v>
      </c>
      <c r="D312" s="387">
        <f>VLOOKUP(A312,'Evento Cotiz'!$W$49:$Y$455,3,FALSE)</f>
        <v>0</v>
      </c>
      <c r="E312" s="422">
        <f>VLOOKUP(A312,'Evento Cotiz'!$A$49:$T$459,12,FALSE)</f>
        <v>89201.9856</v>
      </c>
      <c r="F312" s="427">
        <f>VLOOKUP(A312,'Evento Cotiz'!$A$49:$T$459,13,FALSE)</f>
        <v>1324.4736</v>
      </c>
      <c r="G312" s="428">
        <f>Tabla1[[#This Row],[Cantidad]]*Tabla1[[#This Row],[P Piso]]</f>
        <v>0</v>
      </c>
      <c r="H312" s="433">
        <f>Tabla1[[#This Row],[P Piso]]-(Tabla1[[#This Row],[P Piso]]*20%)</f>
        <v>1059.57888</v>
      </c>
      <c r="I312" s="434">
        <f>IF((1-(Tabla1[[#This Row],[P Piso-20%]]/Tabla1[[#This Row],[P Oferta]]))=1,0,1-(Tabla1[[#This Row],[P Piso-20%]]/Tabla1[[#This Row],[P Oferta]]))</f>
        <v>0.98812157741923623</v>
      </c>
      <c r="J312" s="439">
        <f>Tabla1[[#This Row],[P Piso]]-(Tabla1[[#This Row],[P Piso]]*25%)</f>
        <v>993.35519999999997</v>
      </c>
      <c r="K312" s="440">
        <f>IF((1-(Tabla1[[#This Row],[P Piso-25%]]/Tabla1[[#This Row],[P Oferta]]))=1,0,1-(Tabla1[[#This Row],[P Piso-25%]]/Tabla1[[#This Row],[P Oferta]]))</f>
        <v>0.98886397883053401</v>
      </c>
      <c r="L312" s="379"/>
      <c r="M312" s="469">
        <v>308</v>
      </c>
      <c r="N312" s="473"/>
      <c r="O312" s="473"/>
      <c r="P312" s="474"/>
      <c r="Q312" s="381"/>
      <c r="R312" s="380"/>
      <c r="S312" s="381"/>
      <c r="T312" s="106"/>
      <c r="W312" s="377">
        <v>0</v>
      </c>
    </row>
    <row r="313" spans="1:23" ht="13.5" customHeight="1">
      <c r="A313" s="477">
        <v>306</v>
      </c>
      <c r="B313" s="478" t="s">
        <v>282</v>
      </c>
      <c r="C313" s="378" t="s">
        <v>365</v>
      </c>
      <c r="D313" s="387">
        <f>VLOOKUP(A313,'Evento Cotiz'!$W$49:$Y$455,3,FALSE)</f>
        <v>0</v>
      </c>
      <c r="E313" s="422">
        <f>VLOOKUP(A313,'Evento Cotiz'!$A$49:$T$459,12,FALSE)</f>
        <v>89103.633600000001</v>
      </c>
      <c r="F313" s="427">
        <f>VLOOKUP(A313,'Evento Cotiz'!$A$49:$T$459,13,FALSE)</f>
        <v>1324.4736</v>
      </c>
      <c r="G313" s="428">
        <f>Tabla1[[#This Row],[Cantidad]]*Tabla1[[#This Row],[P Piso]]</f>
        <v>0</v>
      </c>
      <c r="H313" s="433">
        <f>Tabla1[[#This Row],[P Piso]]-(Tabla1[[#This Row],[P Piso]]*20%)</f>
        <v>1059.57888</v>
      </c>
      <c r="I313" s="434">
        <f>IF((1-(Tabla1[[#This Row],[P Piso-20%]]/Tabla1[[#This Row],[P Oferta]]))=1,0,1-(Tabla1[[#This Row],[P Piso-20%]]/Tabla1[[#This Row],[P Oferta]]))</f>
        <v>0.98810846609514702</v>
      </c>
      <c r="J313" s="439">
        <f>Tabla1[[#This Row],[P Piso]]-(Tabla1[[#This Row],[P Piso]]*25%)</f>
        <v>993.35519999999997</v>
      </c>
      <c r="K313" s="440">
        <f>IF((1-(Tabla1[[#This Row],[P Piso-25%]]/Tabla1[[#This Row],[P Oferta]]))=1,0,1-(Tabla1[[#This Row],[P Piso-25%]]/Tabla1[[#This Row],[P Oferta]]))</f>
        <v>0.98885168696420034</v>
      </c>
      <c r="L313" s="379"/>
      <c r="M313" s="469">
        <v>309</v>
      </c>
      <c r="N313" s="473"/>
      <c r="O313" s="473"/>
      <c r="P313" s="474"/>
      <c r="Q313" s="381"/>
      <c r="R313" s="380"/>
      <c r="S313" s="381"/>
      <c r="T313" s="106"/>
      <c r="W313" s="377">
        <v>0</v>
      </c>
    </row>
    <row r="314" spans="1:23" ht="13.5" customHeight="1">
      <c r="A314" s="477">
        <v>307</v>
      </c>
      <c r="B314" s="478" t="s">
        <v>283</v>
      </c>
      <c r="C314" s="378" t="s">
        <v>365</v>
      </c>
      <c r="D314" s="387">
        <f>VLOOKUP(A314,'Evento Cotiz'!$W$49:$Y$455,3,FALSE)</f>
        <v>0</v>
      </c>
      <c r="E314" s="422">
        <f>VLOOKUP(A314,'Evento Cotiz'!$A$49:$T$459,12,FALSE)</f>
        <v>89091.612800000003</v>
      </c>
      <c r="F314" s="427">
        <f>VLOOKUP(A314,'Evento Cotiz'!$A$49:$T$459,13,FALSE)</f>
        <v>1324.4736</v>
      </c>
      <c r="G314" s="428">
        <f>Tabla1[[#This Row],[Cantidad]]*Tabla1[[#This Row],[P Piso]]</f>
        <v>0</v>
      </c>
      <c r="H314" s="433">
        <f>Tabla1[[#This Row],[P Piso]]-(Tabla1[[#This Row],[P Piso]]*20%)</f>
        <v>1059.57888</v>
      </c>
      <c r="I314" s="434">
        <f>IF((1-(Tabla1[[#This Row],[P Piso-20%]]/Tabla1[[#This Row],[P Oferta]]))=1,0,1-(Tabla1[[#This Row],[P Piso-20%]]/Tabla1[[#This Row],[P Oferta]]))</f>
        <v>0.98810686161469963</v>
      </c>
      <c r="J314" s="439">
        <f>Tabla1[[#This Row],[P Piso]]-(Tabla1[[#This Row],[P Piso]]*25%)</f>
        <v>993.35519999999997</v>
      </c>
      <c r="K314" s="440">
        <f>IF((1-(Tabla1[[#This Row],[P Piso-25%]]/Tabla1[[#This Row],[P Oferta]]))=1,0,1-(Tabla1[[#This Row],[P Piso-25%]]/Tabla1[[#This Row],[P Oferta]]))</f>
        <v>0.98885018276378089</v>
      </c>
      <c r="L314" s="379"/>
      <c r="M314" s="469">
        <v>310</v>
      </c>
      <c r="N314" s="473"/>
      <c r="O314" s="473"/>
      <c r="P314" s="474"/>
      <c r="Q314" s="381"/>
      <c r="R314" s="380"/>
      <c r="S314" s="381"/>
      <c r="T314" s="106"/>
      <c r="W314" s="377">
        <v>0</v>
      </c>
    </row>
    <row r="315" spans="1:23" ht="13.5" customHeight="1">
      <c r="A315" s="477">
        <v>308</v>
      </c>
      <c r="B315" s="478" t="s">
        <v>284</v>
      </c>
      <c r="C315" s="378" t="s">
        <v>365</v>
      </c>
      <c r="D315" s="387">
        <f>VLOOKUP(A315,'Evento Cotiz'!$W$49:$Y$455,3,FALSE)</f>
        <v>0</v>
      </c>
      <c r="E315" s="422">
        <f>VLOOKUP(A315,'Evento Cotiz'!$A$49:$T$459,12,FALSE)</f>
        <v>89326.564799999993</v>
      </c>
      <c r="F315" s="427">
        <f>VLOOKUP(A315,'Evento Cotiz'!$A$49:$T$459,13,FALSE)</f>
        <v>1324.4736</v>
      </c>
      <c r="G315" s="428">
        <f>Tabla1[[#This Row],[Cantidad]]*Tabla1[[#This Row],[P Piso]]</f>
        <v>0</v>
      </c>
      <c r="H315" s="433">
        <f>Tabla1[[#This Row],[P Piso]]-(Tabla1[[#This Row],[P Piso]]*20%)</f>
        <v>1059.57888</v>
      </c>
      <c r="I315" s="434">
        <f>IF((1-(Tabla1[[#This Row],[P Piso-20%]]/Tabla1[[#This Row],[P Oferta]]))=1,0,1-(Tabla1[[#This Row],[P Piso-20%]]/Tabla1[[#This Row],[P Oferta]]))</f>
        <v>0.98813814364884212</v>
      </c>
      <c r="J315" s="439">
        <f>Tabla1[[#This Row],[P Piso]]-(Tabla1[[#This Row],[P Piso]]*25%)</f>
        <v>993.35519999999997</v>
      </c>
      <c r="K315" s="440">
        <f>IF((1-(Tabla1[[#This Row],[P Piso-25%]]/Tabla1[[#This Row],[P Oferta]]))=1,0,1-(Tabla1[[#This Row],[P Piso-25%]]/Tabla1[[#This Row],[P Oferta]]))</f>
        <v>0.98887950967078941</v>
      </c>
      <c r="L315" s="379"/>
      <c r="M315" s="469">
        <v>311</v>
      </c>
      <c r="N315" s="473"/>
      <c r="O315" s="473"/>
      <c r="P315" s="474"/>
      <c r="Q315" s="381"/>
      <c r="R315" s="380"/>
      <c r="S315" s="381"/>
      <c r="T315" s="106"/>
      <c r="W315" s="377">
        <v>0</v>
      </c>
    </row>
    <row r="316" spans="1:23" ht="13.5" customHeight="1">
      <c r="A316" s="477">
        <v>309</v>
      </c>
      <c r="B316" s="478" t="s">
        <v>285</v>
      </c>
      <c r="C316" s="378" t="s">
        <v>365</v>
      </c>
      <c r="D316" s="387">
        <f>VLOOKUP(A316,'Evento Cotiz'!$W$49:$Y$455,3,FALSE)</f>
        <v>0</v>
      </c>
      <c r="E316" s="422">
        <f>VLOOKUP(A316,'Evento Cotiz'!$A$49:$T$459,12,FALSE)</f>
        <v>118944.72319999999</v>
      </c>
      <c r="F316" s="427">
        <f>VLOOKUP(A316,'Evento Cotiz'!$A$49:$T$459,13,FALSE)</f>
        <v>1655.5920000000001</v>
      </c>
      <c r="G316" s="428">
        <f>Tabla1[[#This Row],[Cantidad]]*Tabla1[[#This Row],[P Piso]]</f>
        <v>0</v>
      </c>
      <c r="H316" s="433">
        <f>Tabla1[[#This Row],[P Piso]]-(Tabla1[[#This Row],[P Piso]]*20%)</f>
        <v>1324.4736</v>
      </c>
      <c r="I316" s="434">
        <f>IF((1-(Tabla1[[#This Row],[P Piso-20%]]/Tabla1[[#This Row],[P Oferta]]))=1,0,1-(Tabla1[[#This Row],[P Piso-20%]]/Tabla1[[#This Row],[P Oferta]]))</f>
        <v>0.98886479732461141</v>
      </c>
      <c r="J316" s="439">
        <f>Tabla1[[#This Row],[P Piso]]-(Tabla1[[#This Row],[P Piso]]*25%)</f>
        <v>1241.694</v>
      </c>
      <c r="K316" s="440">
        <f>IF((1-(Tabla1[[#This Row],[P Piso-25%]]/Tabla1[[#This Row],[P Oferta]]))=1,0,1-(Tabla1[[#This Row],[P Piso-25%]]/Tabla1[[#This Row],[P Oferta]]))</f>
        <v>0.98956074749182321</v>
      </c>
      <c r="L316" s="379"/>
      <c r="M316" s="469">
        <v>312</v>
      </c>
      <c r="N316" s="473"/>
      <c r="O316" s="473"/>
      <c r="P316" s="474"/>
      <c r="Q316" s="381"/>
      <c r="R316" s="380"/>
      <c r="S316" s="381"/>
      <c r="T316" s="106"/>
      <c r="W316" s="377">
        <v>0</v>
      </c>
    </row>
    <row r="317" spans="1:23" ht="13.5" customHeight="1">
      <c r="A317" s="477">
        <v>310</v>
      </c>
      <c r="B317" s="478" t="s">
        <v>286</v>
      </c>
      <c r="C317" s="378" t="s">
        <v>365</v>
      </c>
      <c r="D317" s="387">
        <f>VLOOKUP(A317,'Evento Cotiz'!$W$49:$Y$455,3,FALSE)</f>
        <v>0</v>
      </c>
      <c r="E317" s="422">
        <f>VLOOKUP(A317,'Evento Cotiz'!$A$49:$T$459,12,FALSE)</f>
        <v>118635.4608</v>
      </c>
      <c r="F317" s="427">
        <f>VLOOKUP(A317,'Evento Cotiz'!$A$49:$T$459,13,FALSE)</f>
        <v>1655.5920000000001</v>
      </c>
      <c r="G317" s="428">
        <f>Tabla1[[#This Row],[Cantidad]]*Tabla1[[#This Row],[P Piso]]</f>
        <v>0</v>
      </c>
      <c r="H317" s="433">
        <f>Tabla1[[#This Row],[P Piso]]-(Tabla1[[#This Row],[P Piso]]*20%)</f>
        <v>1324.4736</v>
      </c>
      <c r="I317" s="434">
        <f>IF((1-(Tabla1[[#This Row],[P Piso-20%]]/Tabla1[[#This Row],[P Oferta]]))=1,0,1-(Tabla1[[#This Row],[P Piso-20%]]/Tabla1[[#This Row],[P Oferta]]))</f>
        <v>0.98883576975156828</v>
      </c>
      <c r="J317" s="439">
        <f>Tabla1[[#This Row],[P Piso]]-(Tabla1[[#This Row],[P Piso]]*25%)</f>
        <v>1241.694</v>
      </c>
      <c r="K317" s="440">
        <f>IF((1-(Tabla1[[#This Row],[P Piso-25%]]/Tabla1[[#This Row],[P Oferta]]))=1,0,1-(Tabla1[[#This Row],[P Piso-25%]]/Tabla1[[#This Row],[P Oferta]]))</f>
        <v>0.98953353414209522</v>
      </c>
      <c r="L317" s="379"/>
      <c r="M317" s="469">
        <v>313</v>
      </c>
      <c r="N317" s="473"/>
      <c r="O317" s="473"/>
      <c r="P317" s="474"/>
      <c r="Q317" s="381"/>
      <c r="R317" s="380"/>
      <c r="S317" s="381"/>
      <c r="T317" s="106"/>
      <c r="W317" s="377">
        <v>0</v>
      </c>
    </row>
    <row r="318" spans="1:23" ht="13.5" customHeight="1">
      <c r="A318" s="477">
        <v>311</v>
      </c>
      <c r="B318" s="478" t="s">
        <v>287</v>
      </c>
      <c r="C318" s="378" t="s">
        <v>365</v>
      </c>
      <c r="D318" s="387">
        <f>VLOOKUP(A318,'Evento Cotiz'!$W$49:$Y$455,3,FALSE)</f>
        <v>0</v>
      </c>
      <c r="E318" s="422">
        <f>VLOOKUP(A318,'Evento Cotiz'!$A$49:$T$459,12,FALSE)</f>
        <v>119365.4512</v>
      </c>
      <c r="F318" s="427">
        <f>VLOOKUP(A318,'Evento Cotiz'!$A$49:$T$459,13,FALSE)</f>
        <v>1655.5920000000001</v>
      </c>
      <c r="G318" s="428">
        <f>Tabla1[[#This Row],[Cantidad]]*Tabla1[[#This Row],[P Piso]]</f>
        <v>0</v>
      </c>
      <c r="H318" s="433">
        <f>Tabla1[[#This Row],[P Piso]]-(Tabla1[[#This Row],[P Piso]]*20%)</f>
        <v>1324.4736</v>
      </c>
      <c r="I318" s="434">
        <f>IF((1-(Tabla1[[#This Row],[P Piso-20%]]/Tabla1[[#This Row],[P Oferta]]))=1,0,1-(Tabla1[[#This Row],[P Piso-20%]]/Tabla1[[#This Row],[P Oferta]]))</f>
        <v>0.9889040456289081</v>
      </c>
      <c r="J318" s="439">
        <f>Tabla1[[#This Row],[P Piso]]-(Tabla1[[#This Row],[P Piso]]*25%)</f>
        <v>1241.694</v>
      </c>
      <c r="K318" s="440">
        <f>IF((1-(Tabla1[[#This Row],[P Piso-25%]]/Tabla1[[#This Row],[P Oferta]]))=1,0,1-(Tabla1[[#This Row],[P Piso-25%]]/Tabla1[[#This Row],[P Oferta]]))</f>
        <v>0.98959754277710132</v>
      </c>
      <c r="L318" s="379"/>
      <c r="M318" s="469">
        <v>314</v>
      </c>
      <c r="N318" s="473"/>
      <c r="O318" s="473"/>
      <c r="P318" s="474"/>
      <c r="Q318" s="381"/>
      <c r="R318" s="380"/>
      <c r="S318" s="381"/>
      <c r="T318" s="106"/>
      <c r="W318" s="377">
        <v>0</v>
      </c>
    </row>
    <row r="319" spans="1:23" ht="13.5" customHeight="1">
      <c r="A319" s="477">
        <v>312</v>
      </c>
      <c r="B319" s="478" t="s">
        <v>288</v>
      </c>
      <c r="C319" s="378" t="s">
        <v>365</v>
      </c>
      <c r="D319" s="387">
        <f>VLOOKUP(A319,'Evento Cotiz'!$W$49:$Y$455,3,FALSE)</f>
        <v>0</v>
      </c>
      <c r="E319" s="422">
        <f>VLOOKUP(A319,'Evento Cotiz'!$A$49:$T$459,12,FALSE)</f>
        <v>119204.80959999999</v>
      </c>
      <c r="F319" s="427">
        <f>VLOOKUP(A319,'Evento Cotiz'!$A$49:$T$459,13,FALSE)</f>
        <v>1655.5920000000001</v>
      </c>
      <c r="G319" s="428">
        <f>Tabla1[[#This Row],[Cantidad]]*Tabla1[[#This Row],[P Piso]]</f>
        <v>0</v>
      </c>
      <c r="H319" s="433">
        <f>Tabla1[[#This Row],[P Piso]]-(Tabla1[[#This Row],[P Piso]]*20%)</f>
        <v>1324.4736</v>
      </c>
      <c r="I319" s="434">
        <f>IF((1-(Tabla1[[#This Row],[P Piso-20%]]/Tabla1[[#This Row],[P Oferta]]))=1,0,1-(Tabla1[[#This Row],[P Piso-20%]]/Tabla1[[#This Row],[P Oferta]]))</f>
        <v>0.98888909260922975</v>
      </c>
      <c r="J319" s="439">
        <f>Tabla1[[#This Row],[P Piso]]-(Tabla1[[#This Row],[P Piso]]*25%)</f>
        <v>1241.694</v>
      </c>
      <c r="K319" s="440">
        <f>IF((1-(Tabla1[[#This Row],[P Piso-25%]]/Tabla1[[#This Row],[P Oferta]]))=1,0,1-(Tabla1[[#This Row],[P Piso-25%]]/Tabla1[[#This Row],[P Oferta]]))</f>
        <v>0.98958352432115293</v>
      </c>
      <c r="L319" s="379"/>
      <c r="M319" s="469">
        <v>315</v>
      </c>
      <c r="N319" s="473"/>
      <c r="O319" s="473"/>
      <c r="P319" s="474"/>
      <c r="Q319" s="381"/>
      <c r="R319" s="380"/>
      <c r="S319" s="381"/>
      <c r="T319" s="106"/>
      <c r="W319" s="377">
        <v>0</v>
      </c>
    </row>
    <row r="320" spans="1:23" ht="13.5" customHeight="1">
      <c r="A320" s="477">
        <v>313</v>
      </c>
      <c r="B320" s="478" t="s">
        <v>289</v>
      </c>
      <c r="C320" s="378" t="s">
        <v>365</v>
      </c>
      <c r="D320" s="387">
        <f>VLOOKUP(A320,'Evento Cotiz'!$W$49:$Y$455,3,FALSE)</f>
        <v>0</v>
      </c>
      <c r="E320" s="422">
        <f>VLOOKUP(A320,'Evento Cotiz'!$A$49:$T$459,12,FALSE)</f>
        <v>152432.48639999999</v>
      </c>
      <c r="F320" s="427">
        <f>VLOOKUP(A320,'Evento Cotiz'!$A$49:$T$459,13,FALSE)</f>
        <v>2482.8415999999997</v>
      </c>
      <c r="G320" s="428">
        <f>Tabla1[[#This Row],[Cantidad]]*Tabla1[[#This Row],[P Piso]]</f>
        <v>0</v>
      </c>
      <c r="H320" s="433">
        <f>Tabla1[[#This Row],[P Piso]]-(Tabla1[[#This Row],[P Piso]]*20%)</f>
        <v>1986.2732799999999</v>
      </c>
      <c r="I320" s="434">
        <f>IF((1-(Tabla1[[#This Row],[P Piso-20%]]/Tabla1[[#This Row],[P Oferta]]))=1,0,1-(Tabla1[[#This Row],[P Piso-20%]]/Tabla1[[#This Row],[P Oferta]]))</f>
        <v>0.98696948841477405</v>
      </c>
      <c r="J320" s="439">
        <f>Tabla1[[#This Row],[P Piso]]-(Tabla1[[#This Row],[P Piso]]*25%)</f>
        <v>1862.1311999999998</v>
      </c>
      <c r="K320" s="440">
        <f>IF((1-(Tabla1[[#This Row],[P Piso-25%]]/Tabla1[[#This Row],[P Oferta]]))=1,0,1-(Tabla1[[#This Row],[P Piso-25%]]/Tabla1[[#This Row],[P Oferta]]))</f>
        <v>0.9877838953888507</v>
      </c>
      <c r="L320" s="379"/>
      <c r="M320" s="469">
        <v>316</v>
      </c>
      <c r="N320" s="473"/>
      <c r="O320" s="473"/>
      <c r="P320" s="474"/>
      <c r="Q320" s="381"/>
      <c r="R320" s="380"/>
      <c r="S320" s="381"/>
      <c r="T320" s="106"/>
      <c r="W320" s="377">
        <v>0</v>
      </c>
    </row>
    <row r="321" spans="1:23" ht="13.5" customHeight="1">
      <c r="A321" s="477">
        <v>314</v>
      </c>
      <c r="B321" s="478" t="s">
        <v>290</v>
      </c>
      <c r="C321" s="378" t="s">
        <v>365</v>
      </c>
      <c r="D321" s="387">
        <f>VLOOKUP(A321,'Evento Cotiz'!$W$49:$Y$455,3,FALSE)</f>
        <v>0</v>
      </c>
      <c r="E321" s="422">
        <f>VLOOKUP(A321,'Evento Cotiz'!$A$49:$T$459,12,FALSE)</f>
        <v>152457.6208</v>
      </c>
      <c r="F321" s="427">
        <f>VLOOKUP(A321,'Evento Cotiz'!$A$49:$T$459,13,FALSE)</f>
        <v>2482.8415999999997</v>
      </c>
      <c r="G321" s="428">
        <f>Tabla1[[#This Row],[Cantidad]]*Tabla1[[#This Row],[P Piso]]</f>
        <v>0</v>
      </c>
      <c r="H321" s="433">
        <f>Tabla1[[#This Row],[P Piso]]-(Tabla1[[#This Row],[P Piso]]*20%)</f>
        <v>1986.2732799999999</v>
      </c>
      <c r="I321" s="434">
        <f>IF((1-(Tabla1[[#This Row],[P Piso-20%]]/Tabla1[[#This Row],[P Oferta]]))=1,0,1-(Tabla1[[#This Row],[P Piso-20%]]/Tabla1[[#This Row],[P Oferta]]))</f>
        <v>0.98697163664513909</v>
      </c>
      <c r="J321" s="439">
        <f>Tabla1[[#This Row],[P Piso]]-(Tabla1[[#This Row],[P Piso]]*25%)</f>
        <v>1862.1311999999998</v>
      </c>
      <c r="K321" s="440">
        <f>IF((1-(Tabla1[[#This Row],[P Piso-25%]]/Tabla1[[#This Row],[P Oferta]]))=1,0,1-(Tabla1[[#This Row],[P Piso-25%]]/Tabla1[[#This Row],[P Oferta]]))</f>
        <v>0.98778590935481791</v>
      </c>
      <c r="L321" s="379"/>
      <c r="M321" s="469">
        <v>317</v>
      </c>
      <c r="N321" s="473"/>
      <c r="O321" s="473"/>
      <c r="P321" s="474"/>
      <c r="Q321" s="381"/>
      <c r="R321" s="380"/>
      <c r="S321" s="381"/>
      <c r="T321" s="106"/>
      <c r="W321" s="377">
        <v>0</v>
      </c>
    </row>
    <row r="322" spans="1:23" ht="13.5" customHeight="1">
      <c r="A322" s="477">
        <v>315</v>
      </c>
      <c r="B322" s="478" t="s">
        <v>291</v>
      </c>
      <c r="C322" s="378" t="s">
        <v>365</v>
      </c>
      <c r="D322" s="387">
        <f>VLOOKUP(A322,'Evento Cotiz'!$W$49:$Y$455,3,FALSE)</f>
        <v>0</v>
      </c>
      <c r="E322" s="422">
        <f>VLOOKUP(A322,'Evento Cotiz'!$A$49:$T$459,12,FALSE)</f>
        <v>152334.13440000001</v>
      </c>
      <c r="F322" s="427">
        <f>VLOOKUP(A322,'Evento Cotiz'!$A$49:$T$459,13,FALSE)</f>
        <v>2482.8415999999997</v>
      </c>
      <c r="G322" s="428">
        <f>Tabla1[[#This Row],[Cantidad]]*Tabla1[[#This Row],[P Piso]]</f>
        <v>0</v>
      </c>
      <c r="H322" s="433">
        <f>Tabla1[[#This Row],[P Piso]]-(Tabla1[[#This Row],[P Piso]]*20%)</f>
        <v>1986.2732799999999</v>
      </c>
      <c r="I322" s="434">
        <f>IF((1-(Tabla1[[#This Row],[P Piso-20%]]/Tabla1[[#This Row],[P Oferta]]))=1,0,1-(Tabla1[[#This Row],[P Piso-20%]]/Tabla1[[#This Row],[P Oferta]]))</f>
        <v>0.98696107548171419</v>
      </c>
      <c r="J322" s="439">
        <f>Tabla1[[#This Row],[P Piso]]-(Tabla1[[#This Row],[P Piso]]*25%)</f>
        <v>1862.1311999999998</v>
      </c>
      <c r="K322" s="440">
        <f>IF((1-(Tabla1[[#This Row],[P Piso-25%]]/Tabla1[[#This Row],[P Oferta]]))=1,0,1-(Tabla1[[#This Row],[P Piso-25%]]/Tabla1[[#This Row],[P Oferta]]))</f>
        <v>0.98777600826410705</v>
      </c>
      <c r="L322" s="379"/>
      <c r="M322" s="469">
        <v>318</v>
      </c>
      <c r="N322" s="473"/>
      <c r="O322" s="473"/>
      <c r="P322" s="474"/>
      <c r="Q322" s="381"/>
      <c r="R322" s="380"/>
      <c r="S322" s="381"/>
      <c r="T322" s="106"/>
      <c r="W322" s="377">
        <v>0</v>
      </c>
    </row>
    <row r="323" spans="1:23" ht="13.5" customHeight="1">
      <c r="A323" s="477">
        <v>316</v>
      </c>
      <c r="B323" s="478" t="s">
        <v>292</v>
      </c>
      <c r="C323" s="378" t="s">
        <v>365</v>
      </c>
      <c r="D323" s="387">
        <f>VLOOKUP(A323,'Evento Cotiz'!$W$49:$Y$455,3,FALSE)</f>
        <v>0</v>
      </c>
      <c r="E323" s="422">
        <f>VLOOKUP(A323,'Evento Cotiz'!$A$49:$T$459,12,FALSE)</f>
        <v>152445.6</v>
      </c>
      <c r="F323" s="427">
        <f>VLOOKUP(A323,'Evento Cotiz'!$A$49:$T$459,13,FALSE)</f>
        <v>2482.8415999999997</v>
      </c>
      <c r="G323" s="428">
        <f>Tabla1[[#This Row],[Cantidad]]*Tabla1[[#This Row],[P Piso]]</f>
        <v>0</v>
      </c>
      <c r="H323" s="433">
        <f>Tabla1[[#This Row],[P Piso]]-(Tabla1[[#This Row],[P Piso]]*20%)</f>
        <v>1986.2732799999999</v>
      </c>
      <c r="I323" s="434">
        <f>IF((1-(Tabla1[[#This Row],[P Piso-20%]]/Tabla1[[#This Row],[P Oferta]]))=1,0,1-(Tabla1[[#This Row],[P Piso-20%]]/Tabla1[[#This Row],[P Oferta]]))</f>
        <v>0.98697060931899638</v>
      </c>
      <c r="J323" s="439">
        <f>Tabla1[[#This Row],[P Piso]]-(Tabla1[[#This Row],[P Piso]]*25%)</f>
        <v>1862.1311999999998</v>
      </c>
      <c r="K323" s="440">
        <f>IF((1-(Tabla1[[#This Row],[P Piso-25%]]/Tabla1[[#This Row],[P Oferta]]))=1,0,1-(Tabla1[[#This Row],[P Piso-25%]]/Tabla1[[#This Row],[P Oferta]]))</f>
        <v>0.9877849462365591</v>
      </c>
      <c r="L323" s="379"/>
      <c r="M323" s="469">
        <v>319</v>
      </c>
      <c r="N323" s="473"/>
      <c r="O323" s="473"/>
      <c r="P323" s="474"/>
      <c r="Q323" s="381"/>
      <c r="R323" s="380"/>
      <c r="S323" s="381"/>
      <c r="T323" s="106"/>
      <c r="W323" s="377">
        <v>0</v>
      </c>
    </row>
    <row r="324" spans="1:23" ht="13.5" customHeight="1">
      <c r="A324" s="477">
        <v>317</v>
      </c>
      <c r="B324" s="478" t="s">
        <v>293</v>
      </c>
      <c r="C324" s="378" t="s">
        <v>365</v>
      </c>
      <c r="D324" s="387">
        <f>VLOOKUP(A324,'Evento Cotiz'!$W$49:$Y$455,3,FALSE)</f>
        <v>0</v>
      </c>
      <c r="E324" s="422">
        <f>VLOOKUP(A324,'Evento Cotiz'!$A$49:$T$459,12,FALSE)</f>
        <v>301762.51360000001</v>
      </c>
      <c r="F324" s="427">
        <f>VLOOKUP(A324,'Evento Cotiz'!$A$49:$T$459,13,FALSE)</f>
        <v>5721.9008000000003</v>
      </c>
      <c r="G324" s="428">
        <f>Tabla1[[#This Row],[Cantidad]]*Tabla1[[#This Row],[P Piso]]</f>
        <v>0</v>
      </c>
      <c r="H324" s="433">
        <f>Tabla1[[#This Row],[P Piso]]-(Tabla1[[#This Row],[P Piso]]*20%)</f>
        <v>4577.5206400000006</v>
      </c>
      <c r="I324" s="434">
        <f>IF((1-(Tabla1[[#This Row],[P Piso-20%]]/Tabla1[[#This Row],[P Oferta]]))=1,0,1-(Tabla1[[#This Row],[P Piso-20%]]/Tabla1[[#This Row],[P Oferta]]))</f>
        <v>0.98483071808558797</v>
      </c>
      <c r="J324" s="439">
        <f>Tabla1[[#This Row],[P Piso]]-(Tabla1[[#This Row],[P Piso]]*25%)</f>
        <v>4291.4256000000005</v>
      </c>
      <c r="K324" s="440">
        <f>IF((1-(Tabla1[[#This Row],[P Piso-25%]]/Tabla1[[#This Row],[P Oferta]]))=1,0,1-(Tabla1[[#This Row],[P Piso-25%]]/Tabla1[[#This Row],[P Oferta]]))</f>
        <v>0.98577879820523873</v>
      </c>
      <c r="L324" s="379"/>
      <c r="M324" s="469">
        <v>320</v>
      </c>
      <c r="N324" s="473"/>
      <c r="O324" s="473"/>
      <c r="P324" s="474"/>
      <c r="Q324" s="381"/>
      <c r="R324" s="380"/>
      <c r="S324" s="381"/>
      <c r="T324" s="106"/>
      <c r="W324" s="377">
        <v>0</v>
      </c>
    </row>
    <row r="325" spans="1:23" ht="13.5" customHeight="1">
      <c r="A325" s="477">
        <v>318</v>
      </c>
      <c r="B325" s="478" t="s">
        <v>294</v>
      </c>
      <c r="C325" s="378" t="s">
        <v>365</v>
      </c>
      <c r="D325" s="387">
        <f>VLOOKUP(A325,'Evento Cotiz'!$W$49:$Y$455,3,FALSE)</f>
        <v>0</v>
      </c>
      <c r="E325" s="422">
        <f>VLOOKUP(A325,'Evento Cotiz'!$A$49:$T$459,12,FALSE)</f>
        <v>303802.77120000002</v>
      </c>
      <c r="F325" s="427">
        <f>VLOOKUP(A325,'Evento Cotiz'!$A$49:$T$459,13,FALSE)</f>
        <v>5721.9008000000003</v>
      </c>
      <c r="G325" s="428">
        <f>Tabla1[[#This Row],[Cantidad]]*Tabla1[[#This Row],[P Piso]]</f>
        <v>0</v>
      </c>
      <c r="H325" s="433">
        <f>Tabla1[[#This Row],[P Piso]]-(Tabla1[[#This Row],[P Piso]]*20%)</f>
        <v>4577.5206400000006</v>
      </c>
      <c r="I325" s="434">
        <f>IF((1-(Tabla1[[#This Row],[P Piso-20%]]/Tabla1[[#This Row],[P Oferta]]))=1,0,1-(Tabla1[[#This Row],[P Piso-20%]]/Tabla1[[#This Row],[P Oferta]]))</f>
        <v>0.98493259089797269</v>
      </c>
      <c r="J325" s="439">
        <f>Tabla1[[#This Row],[P Piso]]-(Tabla1[[#This Row],[P Piso]]*25%)</f>
        <v>4291.4256000000005</v>
      </c>
      <c r="K325" s="440">
        <f>IF((1-(Tabla1[[#This Row],[P Piso-25%]]/Tabla1[[#This Row],[P Oferta]]))=1,0,1-(Tabla1[[#This Row],[P Piso-25%]]/Tabla1[[#This Row],[P Oferta]]))</f>
        <v>0.98587430396684939</v>
      </c>
      <c r="L325" s="379"/>
      <c r="M325" s="469">
        <v>321</v>
      </c>
      <c r="N325" s="473"/>
      <c r="O325" s="473"/>
      <c r="P325" s="474"/>
      <c r="Q325" s="381"/>
      <c r="R325" s="380"/>
      <c r="S325" s="381"/>
      <c r="T325" s="106"/>
      <c r="W325" s="377">
        <v>0</v>
      </c>
    </row>
    <row r="326" spans="1:23" ht="13.5" customHeight="1">
      <c r="A326" s="477">
        <v>319</v>
      </c>
      <c r="B326" s="478" t="s">
        <v>295</v>
      </c>
      <c r="C326" s="378" t="s">
        <v>365</v>
      </c>
      <c r="D326" s="387">
        <f>VLOOKUP(A326,'Evento Cotiz'!$W$49:$Y$455,3,FALSE)</f>
        <v>0</v>
      </c>
      <c r="E326" s="422">
        <f>VLOOKUP(A326,'Evento Cotiz'!$A$49:$T$459,12,FALSE)</f>
        <v>302355.90399999998</v>
      </c>
      <c r="F326" s="427">
        <f>VLOOKUP(A326,'Evento Cotiz'!$A$49:$T$459,13,FALSE)</f>
        <v>5721.9008000000003</v>
      </c>
      <c r="G326" s="428">
        <f>Tabla1[[#This Row],[Cantidad]]*Tabla1[[#This Row],[P Piso]]</f>
        <v>0</v>
      </c>
      <c r="H326" s="433">
        <f>Tabla1[[#This Row],[P Piso]]-(Tabla1[[#This Row],[P Piso]]*20%)</f>
        <v>4577.5206400000006</v>
      </c>
      <c r="I326" s="434">
        <f>IF((1-(Tabla1[[#This Row],[P Piso-20%]]/Tabla1[[#This Row],[P Oferta]]))=1,0,1-(Tabla1[[#This Row],[P Piso-20%]]/Tabla1[[#This Row],[P Oferta]]))</f>
        <v>0.98486048865114939</v>
      </c>
      <c r="J326" s="439">
        <f>Tabla1[[#This Row],[P Piso]]-(Tabla1[[#This Row],[P Piso]]*25%)</f>
        <v>4291.4256000000005</v>
      </c>
      <c r="K326" s="440">
        <f>IF((1-(Tabla1[[#This Row],[P Piso-25%]]/Tabla1[[#This Row],[P Oferta]]))=1,0,1-(Tabla1[[#This Row],[P Piso-25%]]/Tabla1[[#This Row],[P Oferta]]))</f>
        <v>0.98580670811045246</v>
      </c>
      <c r="L326" s="379"/>
      <c r="M326" s="469">
        <v>322</v>
      </c>
      <c r="N326" s="473"/>
      <c r="O326" s="473"/>
      <c r="P326" s="474"/>
      <c r="Q326" s="381"/>
      <c r="R326" s="380"/>
      <c r="S326" s="381"/>
      <c r="T326" s="106"/>
      <c r="W326" s="377">
        <v>0</v>
      </c>
    </row>
    <row r="327" spans="1:23" ht="13.5" customHeight="1">
      <c r="A327" s="477">
        <v>320</v>
      </c>
      <c r="B327" s="478" t="s">
        <v>296</v>
      </c>
      <c r="C327" s="378" t="s">
        <v>365</v>
      </c>
      <c r="D327" s="387">
        <f>VLOOKUP(A327,'Evento Cotiz'!$W$49:$Y$455,3,FALSE)</f>
        <v>0</v>
      </c>
      <c r="E327" s="422">
        <f>VLOOKUP(A327,'Evento Cotiz'!$A$49:$T$459,12,FALSE)</f>
        <v>302566.81439999997</v>
      </c>
      <c r="F327" s="427">
        <f>VLOOKUP(A327,'Evento Cotiz'!$A$49:$T$459,13,FALSE)</f>
        <v>5721.9008000000003</v>
      </c>
      <c r="G327" s="428">
        <f>Tabla1[[#This Row],[Cantidad]]*Tabla1[[#This Row],[P Piso]]</f>
        <v>0</v>
      </c>
      <c r="H327" s="433">
        <f>Tabla1[[#This Row],[P Piso]]-(Tabla1[[#This Row],[P Piso]]*20%)</f>
        <v>4577.5206400000006</v>
      </c>
      <c r="I327" s="434">
        <f>IF((1-(Tabla1[[#This Row],[P Piso-20%]]/Tabla1[[#This Row],[P Oferta]]))=1,0,1-(Tabla1[[#This Row],[P Piso-20%]]/Tabla1[[#This Row],[P Oferta]]))</f>
        <v>0.98487104195786512</v>
      </c>
      <c r="J327" s="439">
        <f>Tabla1[[#This Row],[P Piso]]-(Tabla1[[#This Row],[P Piso]]*25%)</f>
        <v>4291.4256000000005</v>
      </c>
      <c r="K327" s="440">
        <f>IF((1-(Tabla1[[#This Row],[P Piso-25%]]/Tabla1[[#This Row],[P Oferta]]))=1,0,1-(Tabla1[[#This Row],[P Piso-25%]]/Tabla1[[#This Row],[P Oferta]]))</f>
        <v>0.98581660183549857</v>
      </c>
      <c r="L327" s="379"/>
      <c r="M327" s="469">
        <v>323</v>
      </c>
      <c r="N327" s="473"/>
      <c r="O327" s="473"/>
      <c r="P327" s="474"/>
      <c r="Q327" s="381"/>
      <c r="R327" s="380"/>
      <c r="S327" s="381"/>
      <c r="T327" s="106"/>
      <c r="W327" s="377">
        <v>0</v>
      </c>
    </row>
    <row r="328" spans="1:23" ht="13.5" customHeight="1">
      <c r="A328" s="477">
        <v>321</v>
      </c>
      <c r="B328" s="478" t="s">
        <v>297</v>
      </c>
      <c r="C328" s="378" t="s">
        <v>365</v>
      </c>
      <c r="D328" s="387">
        <f>VLOOKUP(A328,'Evento Cotiz'!$W$49:$Y$455,3,FALSE)</f>
        <v>0</v>
      </c>
      <c r="E328" s="422">
        <f>VLOOKUP(A328,'Evento Cotiz'!$A$49:$T$459,12,FALSE)</f>
        <v>769123.56799999997</v>
      </c>
      <c r="F328" s="427">
        <f>VLOOKUP(A328,'Evento Cotiz'!$A$49:$T$459,13,FALSE)</f>
        <v>17036.752</v>
      </c>
      <c r="G328" s="428">
        <f>Tabla1[[#This Row],[Cantidad]]*Tabla1[[#This Row],[P Piso]]</f>
        <v>0</v>
      </c>
      <c r="H328" s="433">
        <f>Tabla1[[#This Row],[P Piso]]-(Tabla1[[#This Row],[P Piso]]*20%)</f>
        <v>13629.401600000001</v>
      </c>
      <c r="I328" s="434">
        <f>IF((1-(Tabla1[[#This Row],[P Piso-20%]]/Tabla1[[#This Row],[P Oferta]]))=1,0,1-(Tabla1[[#This Row],[P Piso-20%]]/Tabla1[[#This Row],[P Oferta]]))</f>
        <v>0.98227930833605659</v>
      </c>
      <c r="J328" s="439">
        <f>Tabla1[[#This Row],[P Piso]]-(Tabla1[[#This Row],[P Piso]]*25%)</f>
        <v>12777.564</v>
      </c>
      <c r="K328" s="440">
        <f>IF((1-(Tabla1[[#This Row],[P Piso-25%]]/Tabla1[[#This Row],[P Oferta]]))=1,0,1-(Tabla1[[#This Row],[P Piso-25%]]/Tabla1[[#This Row],[P Oferta]]))</f>
        <v>0.98338685156505301</v>
      </c>
      <c r="L328" s="379"/>
      <c r="M328" s="469">
        <v>324</v>
      </c>
      <c r="N328" s="473"/>
      <c r="O328" s="473"/>
      <c r="P328" s="474"/>
      <c r="Q328" s="381"/>
      <c r="R328" s="380"/>
      <c r="S328" s="381"/>
      <c r="T328" s="106"/>
      <c r="W328" s="377">
        <v>0</v>
      </c>
    </row>
    <row r="329" spans="1:23" ht="13.5" customHeight="1">
      <c r="A329" s="477">
        <v>322</v>
      </c>
      <c r="B329" s="478" t="s">
        <v>298</v>
      </c>
      <c r="C329" s="378" t="s">
        <v>365</v>
      </c>
      <c r="D329" s="387">
        <f>VLOOKUP(A329,'Evento Cotiz'!$W$49:$Y$455,3,FALSE)</f>
        <v>0</v>
      </c>
      <c r="E329" s="422">
        <f>VLOOKUP(A329,'Evento Cotiz'!$A$49:$T$459,12,FALSE)</f>
        <v>771744.10239999997</v>
      </c>
      <c r="F329" s="427">
        <f>VLOOKUP(A329,'Evento Cotiz'!$A$49:$T$459,13,FALSE)</f>
        <v>17036.752</v>
      </c>
      <c r="G329" s="428">
        <f>Tabla1[[#This Row],[Cantidad]]*Tabla1[[#This Row],[P Piso]]</f>
        <v>0</v>
      </c>
      <c r="H329" s="433">
        <f>Tabla1[[#This Row],[P Piso]]-(Tabla1[[#This Row],[P Piso]]*20%)</f>
        <v>13629.401600000001</v>
      </c>
      <c r="I329" s="434">
        <f>IF((1-(Tabla1[[#This Row],[P Piso-20%]]/Tabla1[[#This Row],[P Oferta]]))=1,0,1-(Tabla1[[#This Row],[P Piso-20%]]/Tabla1[[#This Row],[P Oferta]]))</f>
        <v>0.98233948071956134</v>
      </c>
      <c r="J329" s="439">
        <f>Tabla1[[#This Row],[P Piso]]-(Tabla1[[#This Row],[P Piso]]*25%)</f>
        <v>12777.564</v>
      </c>
      <c r="K329" s="440">
        <f>IF((1-(Tabla1[[#This Row],[P Piso-25%]]/Tabla1[[#This Row],[P Oferta]]))=1,0,1-(Tabla1[[#This Row],[P Piso-25%]]/Tabla1[[#This Row],[P Oferta]]))</f>
        <v>0.98344326317458874</v>
      </c>
      <c r="L329" s="379"/>
      <c r="M329" s="469">
        <v>325</v>
      </c>
      <c r="N329" s="473"/>
      <c r="O329" s="473"/>
      <c r="P329" s="474"/>
      <c r="Q329" s="381"/>
      <c r="R329" s="380"/>
      <c r="S329" s="381"/>
      <c r="T329" s="106"/>
      <c r="W329" s="377">
        <v>0</v>
      </c>
    </row>
    <row r="330" spans="1:23" ht="13.5" customHeight="1">
      <c r="A330" s="477">
        <v>323</v>
      </c>
      <c r="B330" s="478" t="s">
        <v>299</v>
      </c>
      <c r="C330" s="378" t="s">
        <v>365</v>
      </c>
      <c r="D330" s="387">
        <f>VLOOKUP(A330,'Evento Cotiz'!$W$49:$Y$455,3,FALSE)</f>
        <v>0</v>
      </c>
      <c r="E330" s="422">
        <f>VLOOKUP(A330,'Evento Cotiz'!$A$49:$T$459,12,FALSE)</f>
        <v>773177.85600000003</v>
      </c>
      <c r="F330" s="427">
        <f>VLOOKUP(A330,'Evento Cotiz'!$A$49:$T$459,13,FALSE)</f>
        <v>17036.752</v>
      </c>
      <c r="G330" s="428">
        <f>Tabla1[[#This Row],[Cantidad]]*Tabla1[[#This Row],[P Piso]]</f>
        <v>0</v>
      </c>
      <c r="H330" s="433">
        <f>Tabla1[[#This Row],[P Piso]]-(Tabla1[[#This Row],[P Piso]]*20%)</f>
        <v>13629.401600000001</v>
      </c>
      <c r="I330" s="434">
        <f>IF((1-(Tabla1[[#This Row],[P Piso-20%]]/Tabla1[[#This Row],[P Oferta]]))=1,0,1-(Tabla1[[#This Row],[P Piso-20%]]/Tabla1[[#This Row],[P Oferta]]))</f>
        <v>0.98237222976028948</v>
      </c>
      <c r="J330" s="439">
        <f>Tabla1[[#This Row],[P Piso]]-(Tabla1[[#This Row],[P Piso]]*25%)</f>
        <v>12777.564</v>
      </c>
      <c r="K330" s="440">
        <f>IF((1-(Tabla1[[#This Row],[P Piso-25%]]/Tabla1[[#This Row],[P Oferta]]))=1,0,1-(Tabla1[[#This Row],[P Piso-25%]]/Tabla1[[#This Row],[P Oferta]]))</f>
        <v>0.98347396540027132</v>
      </c>
      <c r="L330" s="379"/>
      <c r="M330" s="469">
        <v>326</v>
      </c>
      <c r="N330" s="473"/>
      <c r="O330" s="473"/>
      <c r="P330" s="474"/>
      <c r="Q330" s="381"/>
      <c r="R330" s="380"/>
      <c r="S330" s="381"/>
      <c r="T330" s="106"/>
      <c r="W330" s="377">
        <v>0</v>
      </c>
    </row>
    <row r="331" spans="1:23" ht="13.5" customHeight="1">
      <c r="A331" s="477">
        <v>324</v>
      </c>
      <c r="B331" s="478" t="s">
        <v>300</v>
      </c>
      <c r="C331" s="378" t="s">
        <v>365</v>
      </c>
      <c r="D331" s="387">
        <f>VLOOKUP(A331,'Evento Cotiz'!$W$49:$Y$455,3,FALSE)</f>
        <v>0</v>
      </c>
      <c r="E331" s="422">
        <f>VLOOKUP(A331,'Evento Cotiz'!$A$49:$T$459,12,FALSE)</f>
        <v>1061936.0496</v>
      </c>
      <c r="F331" s="427">
        <f>VLOOKUP(A331,'Evento Cotiz'!$A$49:$T$459,13,FALSE)</f>
        <v>16328.6176</v>
      </c>
      <c r="G331" s="428">
        <f>Tabla1[[#This Row],[Cantidad]]*Tabla1[[#This Row],[P Piso]]</f>
        <v>0</v>
      </c>
      <c r="H331" s="433">
        <f>Tabla1[[#This Row],[P Piso]]-(Tabla1[[#This Row],[P Piso]]*20%)</f>
        <v>13062.89408</v>
      </c>
      <c r="I331" s="434">
        <f>IF((1-(Tabla1[[#This Row],[P Piso-20%]]/Tabla1[[#This Row],[P Oferta]]))=1,0,1-(Tabla1[[#This Row],[P Piso-20%]]/Tabla1[[#This Row],[P Oferta]]))</f>
        <v>0.98769898235875841</v>
      </c>
      <c r="J331" s="439">
        <f>Tabla1[[#This Row],[P Piso]]-(Tabla1[[#This Row],[P Piso]]*25%)</f>
        <v>12246.4632</v>
      </c>
      <c r="K331" s="440">
        <f>IF((1-(Tabla1[[#This Row],[P Piso-25%]]/Tabla1[[#This Row],[P Oferta]]))=1,0,1-(Tabla1[[#This Row],[P Piso-25%]]/Tabla1[[#This Row],[P Oferta]]))</f>
        <v>0.98846779596133605</v>
      </c>
      <c r="L331" s="379"/>
      <c r="M331" s="469">
        <v>327</v>
      </c>
      <c r="N331" s="473"/>
      <c r="O331" s="473"/>
      <c r="P331" s="474"/>
      <c r="Q331" s="381"/>
      <c r="R331" s="380"/>
      <c r="S331" s="381"/>
      <c r="T331" s="106"/>
      <c r="W331" s="377">
        <v>0</v>
      </c>
    </row>
    <row r="332" spans="1:23" ht="13.5" customHeight="1">
      <c r="A332" s="477">
        <v>325</v>
      </c>
      <c r="B332" s="478" t="s">
        <v>301</v>
      </c>
      <c r="C332" s="378" t="s">
        <v>365</v>
      </c>
      <c r="D332" s="387">
        <f>VLOOKUP(A332,'Evento Cotiz'!$W$49:$Y$455,3,FALSE)</f>
        <v>0</v>
      </c>
      <c r="E332" s="422">
        <f>VLOOKUP(A332,'Evento Cotiz'!$A$49:$T$459,12,FALSE)</f>
        <v>1060897.8895999999</v>
      </c>
      <c r="F332" s="427">
        <f>VLOOKUP(A332,'Evento Cotiz'!$A$49:$T$459,13,FALSE)</f>
        <v>16328.6176</v>
      </c>
      <c r="G332" s="428">
        <f>Tabla1[[#This Row],[Cantidad]]*Tabla1[[#This Row],[P Piso]]</f>
        <v>0</v>
      </c>
      <c r="H332" s="433">
        <f>Tabla1[[#This Row],[P Piso]]-(Tabla1[[#This Row],[P Piso]]*20%)</f>
        <v>13062.89408</v>
      </c>
      <c r="I332" s="434">
        <f>IF((1-(Tabla1[[#This Row],[P Piso-20%]]/Tabla1[[#This Row],[P Oferta]]))=1,0,1-(Tabla1[[#This Row],[P Piso-20%]]/Tabla1[[#This Row],[P Oferta]]))</f>
        <v>0.98768694498494547</v>
      </c>
      <c r="J332" s="439">
        <f>Tabla1[[#This Row],[P Piso]]-(Tabla1[[#This Row],[P Piso]]*25%)</f>
        <v>12246.4632</v>
      </c>
      <c r="K332" s="440">
        <f>IF((1-(Tabla1[[#This Row],[P Piso-25%]]/Tabla1[[#This Row],[P Oferta]]))=1,0,1-(Tabla1[[#This Row],[P Piso-25%]]/Tabla1[[#This Row],[P Oferta]]))</f>
        <v>0.98845651092338638</v>
      </c>
      <c r="L332" s="379"/>
      <c r="M332" s="469">
        <v>328</v>
      </c>
      <c r="N332" s="473"/>
      <c r="O332" s="473"/>
      <c r="P332" s="474"/>
      <c r="Q332" s="381"/>
      <c r="R332" s="380"/>
      <c r="S332" s="381"/>
      <c r="T332" s="106"/>
      <c r="W332" s="377">
        <v>0</v>
      </c>
    </row>
    <row r="333" spans="1:23" ht="13.5" customHeight="1">
      <c r="A333" s="477">
        <v>326</v>
      </c>
      <c r="B333" s="478" t="s">
        <v>302</v>
      </c>
      <c r="C333" s="378" t="s">
        <v>365</v>
      </c>
      <c r="D333" s="387">
        <f>VLOOKUP(A333,'Evento Cotiz'!$W$49:$Y$455,3,FALSE)</f>
        <v>0</v>
      </c>
      <c r="E333" s="422">
        <f>VLOOKUP(A333,'Evento Cotiz'!$A$49:$T$459,12,FALSE)</f>
        <v>1064865.8463999999</v>
      </c>
      <c r="F333" s="427">
        <f>VLOOKUP(A333,'Evento Cotiz'!$A$49:$T$459,13,FALSE)</f>
        <v>16328.6176</v>
      </c>
      <c r="G333" s="428">
        <f>Tabla1[[#This Row],[Cantidad]]*Tabla1[[#This Row],[P Piso]]</f>
        <v>0</v>
      </c>
      <c r="H333" s="433">
        <f>Tabla1[[#This Row],[P Piso]]-(Tabla1[[#This Row],[P Piso]]*20%)</f>
        <v>13062.89408</v>
      </c>
      <c r="I333" s="434">
        <f>IF((1-(Tabla1[[#This Row],[P Piso-20%]]/Tabla1[[#This Row],[P Oferta]]))=1,0,1-(Tabla1[[#This Row],[P Piso-20%]]/Tabla1[[#This Row],[P Oferta]]))</f>
        <v>0.98773282651128136</v>
      </c>
      <c r="J333" s="439">
        <f>Tabla1[[#This Row],[P Piso]]-(Tabla1[[#This Row],[P Piso]]*25%)</f>
        <v>12246.4632</v>
      </c>
      <c r="K333" s="440">
        <f>IF((1-(Tabla1[[#This Row],[P Piso-25%]]/Tabla1[[#This Row],[P Oferta]]))=1,0,1-(Tabla1[[#This Row],[P Piso-25%]]/Tabla1[[#This Row],[P Oferta]]))</f>
        <v>0.98849952485432624</v>
      </c>
      <c r="L333" s="379"/>
      <c r="M333" s="469">
        <v>329</v>
      </c>
      <c r="N333" s="473"/>
      <c r="O333" s="473"/>
      <c r="P333" s="474"/>
      <c r="Q333" s="381"/>
      <c r="R333" s="380"/>
      <c r="S333" s="381"/>
      <c r="T333" s="106"/>
      <c r="W333" s="377">
        <v>0</v>
      </c>
    </row>
    <row r="334" spans="1:23" ht="13.5" customHeight="1">
      <c r="A334" s="477">
        <v>327</v>
      </c>
      <c r="B334" s="478" t="s">
        <v>303</v>
      </c>
      <c r="C334" s="378" t="s">
        <v>365</v>
      </c>
      <c r="D334" s="387">
        <f>VLOOKUP(A334,'Evento Cotiz'!$W$49:$Y$455,3,FALSE)</f>
        <v>0</v>
      </c>
      <c r="E334" s="422">
        <f>VLOOKUP(A334,'Evento Cotiz'!$A$49:$T$459,12,FALSE)</f>
        <v>2393050.5951999999</v>
      </c>
      <c r="F334" s="427">
        <f>VLOOKUP(A334,'Evento Cotiz'!$A$49:$T$459,13,FALSE)</f>
        <v>29983.153599999998</v>
      </c>
      <c r="G334" s="428">
        <f>Tabla1[[#This Row],[Cantidad]]*Tabla1[[#This Row],[P Piso]]</f>
        <v>0</v>
      </c>
      <c r="H334" s="433">
        <f>Tabla1[[#This Row],[P Piso]]-(Tabla1[[#This Row],[P Piso]]*20%)</f>
        <v>23986.522879999997</v>
      </c>
      <c r="I334" s="434">
        <f>IF((1-(Tabla1[[#This Row],[P Piso-20%]]/Tabla1[[#This Row],[P Oferta]]))=1,0,1-(Tabla1[[#This Row],[P Piso-20%]]/Tabla1[[#This Row],[P Oferta]]))</f>
        <v>0.98997659183298825</v>
      </c>
      <c r="J334" s="439">
        <f>Tabla1[[#This Row],[P Piso]]-(Tabla1[[#This Row],[P Piso]]*25%)</f>
        <v>22487.3652</v>
      </c>
      <c r="K334" s="440">
        <f>IF((1-(Tabla1[[#This Row],[P Piso-25%]]/Tabla1[[#This Row],[P Oferta]]))=1,0,1-(Tabla1[[#This Row],[P Piso-25%]]/Tabla1[[#This Row],[P Oferta]]))</f>
        <v>0.99060305484342648</v>
      </c>
      <c r="L334" s="379"/>
      <c r="M334" s="469">
        <v>330</v>
      </c>
      <c r="N334" s="473"/>
      <c r="O334" s="473"/>
      <c r="P334" s="474"/>
      <c r="Q334" s="381"/>
      <c r="R334" s="380"/>
      <c r="S334" s="381"/>
      <c r="T334" s="106"/>
      <c r="W334" s="377">
        <v>0</v>
      </c>
    </row>
    <row r="335" spans="1:23" ht="13.5" customHeight="1">
      <c r="A335" s="477">
        <v>328</v>
      </c>
      <c r="B335" s="478" t="s">
        <v>304</v>
      </c>
      <c r="C335" s="378" t="s">
        <v>365</v>
      </c>
      <c r="D335" s="387">
        <f>VLOOKUP(A335,'Evento Cotiz'!$W$49:$Y$455,3,FALSE)</f>
        <v>0</v>
      </c>
      <c r="E335" s="422">
        <f>VLOOKUP(A335,'Evento Cotiz'!$A$49:$T$459,12,FALSE)</f>
        <v>2406648.3056000001</v>
      </c>
      <c r="F335" s="427">
        <f>VLOOKUP(A335,'Evento Cotiz'!$A$49:$T$459,13,FALSE)</f>
        <v>29983.153599999998</v>
      </c>
      <c r="G335" s="428">
        <f>Tabla1[[#This Row],[Cantidad]]*Tabla1[[#This Row],[P Piso]]</f>
        <v>0</v>
      </c>
      <c r="H335" s="433">
        <f>Tabla1[[#This Row],[P Piso]]-(Tabla1[[#This Row],[P Piso]]*20%)</f>
        <v>23986.522879999997</v>
      </c>
      <c r="I335" s="434">
        <f>IF((1-(Tabla1[[#This Row],[P Piso-20%]]/Tabla1[[#This Row],[P Oferta]]))=1,0,1-(Tabla1[[#This Row],[P Piso-20%]]/Tabla1[[#This Row],[P Oferta]]))</f>
        <v>0.9900332247033411</v>
      </c>
      <c r="J335" s="439">
        <f>Tabla1[[#This Row],[P Piso]]-(Tabla1[[#This Row],[P Piso]]*25%)</f>
        <v>22487.3652</v>
      </c>
      <c r="K335" s="440">
        <f>IF((1-(Tabla1[[#This Row],[P Piso-25%]]/Tabla1[[#This Row],[P Oferta]]))=1,0,1-(Tabla1[[#This Row],[P Piso-25%]]/Tabla1[[#This Row],[P Oferta]]))</f>
        <v>0.9906561481593823</v>
      </c>
      <c r="L335" s="379"/>
      <c r="M335" s="469">
        <v>331</v>
      </c>
      <c r="N335" s="473"/>
      <c r="O335" s="473"/>
      <c r="P335" s="474"/>
      <c r="Q335" s="381"/>
      <c r="R335" s="380"/>
      <c r="S335" s="381"/>
      <c r="T335" s="106"/>
      <c r="W335" s="377">
        <v>0</v>
      </c>
    </row>
    <row r="336" spans="1:23" ht="13.5" customHeight="1">
      <c r="A336" s="477">
        <v>329</v>
      </c>
      <c r="B336" s="478" t="s">
        <v>305</v>
      </c>
      <c r="C336" s="378" t="s">
        <v>365</v>
      </c>
      <c r="D336" s="387">
        <f>VLOOKUP(A336,'Evento Cotiz'!$W$49:$Y$455,3,FALSE)</f>
        <v>0</v>
      </c>
      <c r="E336" s="422">
        <f>VLOOKUP(A336,'Evento Cotiz'!$A$49:$T$459,12,FALSE)</f>
        <v>2393433.0751999998</v>
      </c>
      <c r="F336" s="427">
        <f>VLOOKUP(A336,'Evento Cotiz'!$A$49:$T$459,13,FALSE)</f>
        <v>29983.153599999998</v>
      </c>
      <c r="G336" s="428">
        <f>Tabla1[[#This Row],[Cantidad]]*Tabla1[[#This Row],[P Piso]]</f>
        <v>0</v>
      </c>
      <c r="H336" s="433">
        <f>Tabla1[[#This Row],[P Piso]]-(Tabla1[[#This Row],[P Piso]]*20%)</f>
        <v>23986.522879999997</v>
      </c>
      <c r="I336" s="434">
        <f>IF((1-(Tabla1[[#This Row],[P Piso-20%]]/Tabla1[[#This Row],[P Oferta]]))=1,0,1-(Tabla1[[#This Row],[P Piso-20%]]/Tabla1[[#This Row],[P Oferta]]))</f>
        <v>0.98997819361295669</v>
      </c>
      <c r="J336" s="439">
        <f>Tabla1[[#This Row],[P Piso]]-(Tabla1[[#This Row],[P Piso]]*25%)</f>
        <v>22487.3652</v>
      </c>
      <c r="K336" s="440">
        <f>IF((1-(Tabla1[[#This Row],[P Piso-25%]]/Tabla1[[#This Row],[P Oferta]]))=1,0,1-(Tabla1[[#This Row],[P Piso-25%]]/Tabla1[[#This Row],[P Oferta]]))</f>
        <v>0.99060455651214696</v>
      </c>
      <c r="L336" s="379"/>
      <c r="M336" s="469">
        <v>332</v>
      </c>
      <c r="N336" s="473"/>
      <c r="O336" s="473"/>
      <c r="P336" s="474"/>
      <c r="Q336" s="381"/>
      <c r="R336" s="380"/>
      <c r="S336" s="381"/>
      <c r="T336" s="106"/>
      <c r="W336" s="377">
        <v>0</v>
      </c>
    </row>
    <row r="337" spans="1:23" ht="13.5" customHeight="1">
      <c r="A337" s="477">
        <v>330</v>
      </c>
      <c r="B337" s="478" t="s">
        <v>306</v>
      </c>
      <c r="C337" s="378" t="s">
        <v>365</v>
      </c>
      <c r="D337" s="387">
        <f>VLOOKUP(A337,'Evento Cotiz'!$W$49:$Y$455,3,FALSE)</f>
        <v>0</v>
      </c>
      <c r="E337" s="422">
        <f>VLOOKUP(A337,'Evento Cotiz'!$A$49:$T$459,12,FALSE)</f>
        <v>5781530.5247999998</v>
      </c>
      <c r="F337" s="427">
        <f>VLOOKUP(A337,'Evento Cotiz'!$A$49:$T$459,13,FALSE)</f>
        <v>86581.451199999996</v>
      </c>
      <c r="G337" s="428">
        <f>Tabla1[[#This Row],[Cantidad]]*Tabla1[[#This Row],[P Piso]]</f>
        <v>0</v>
      </c>
      <c r="H337" s="433">
        <f>Tabla1[[#This Row],[P Piso]]-(Tabla1[[#This Row],[P Piso]]*20%)</f>
        <v>69265.160959999994</v>
      </c>
      <c r="I337" s="434">
        <f>IF((1-(Tabla1[[#This Row],[P Piso-20%]]/Tabla1[[#This Row],[P Oferta]]))=1,0,1-(Tabla1[[#This Row],[P Piso-20%]]/Tabla1[[#This Row],[P Oferta]]))</f>
        <v>0.98801958051369176</v>
      </c>
      <c r="J337" s="439">
        <f>Tabla1[[#This Row],[P Piso]]-(Tabla1[[#This Row],[P Piso]]*25%)</f>
        <v>64936.088399999993</v>
      </c>
      <c r="K337" s="440">
        <f>IF((1-(Tabla1[[#This Row],[P Piso-25%]]/Tabla1[[#This Row],[P Oferta]]))=1,0,1-(Tabla1[[#This Row],[P Piso-25%]]/Tabla1[[#This Row],[P Oferta]]))</f>
        <v>0.98876835673158603</v>
      </c>
      <c r="L337" s="379"/>
      <c r="M337" s="469">
        <v>333</v>
      </c>
      <c r="N337" s="473"/>
      <c r="O337" s="473"/>
      <c r="P337" s="474"/>
      <c r="Q337" s="381"/>
      <c r="R337" s="380"/>
      <c r="S337" s="381"/>
      <c r="T337" s="106"/>
      <c r="W337" s="377">
        <v>0</v>
      </c>
    </row>
    <row r="338" spans="1:23" ht="13.5" customHeight="1">
      <c r="A338" s="477">
        <v>331</v>
      </c>
      <c r="B338" s="478" t="s">
        <v>307</v>
      </c>
      <c r="C338" s="378" t="s">
        <v>365</v>
      </c>
      <c r="D338" s="387">
        <f>VLOOKUP(A338,'Evento Cotiz'!$W$49:$Y$455,3,FALSE)</f>
        <v>0</v>
      </c>
      <c r="E338" s="422">
        <f>VLOOKUP(A338,'Evento Cotiz'!$A$49:$T$459,12,FALSE)</f>
        <v>5762851.2944</v>
      </c>
      <c r="F338" s="427">
        <f>VLOOKUP(A338,'Evento Cotiz'!$A$49:$T$459,13,FALSE)</f>
        <v>86581.451199999996</v>
      </c>
      <c r="G338" s="428">
        <f>Tabla1[[#This Row],[Cantidad]]*Tabla1[[#This Row],[P Piso]]</f>
        <v>0</v>
      </c>
      <c r="H338" s="433">
        <f>Tabla1[[#This Row],[P Piso]]-(Tabla1[[#This Row],[P Piso]]*20%)</f>
        <v>69265.160959999994</v>
      </c>
      <c r="I338" s="434">
        <f>IF((1-(Tabla1[[#This Row],[P Piso-20%]]/Tabla1[[#This Row],[P Oferta]]))=1,0,1-(Tabla1[[#This Row],[P Piso-20%]]/Tabla1[[#This Row],[P Oferta]]))</f>
        <v>0.98798074817108195</v>
      </c>
      <c r="J338" s="439">
        <f>Tabla1[[#This Row],[P Piso]]-(Tabla1[[#This Row],[P Piso]]*25%)</f>
        <v>64936.088399999993</v>
      </c>
      <c r="K338" s="440">
        <f>IF((1-(Tabla1[[#This Row],[P Piso-25%]]/Tabla1[[#This Row],[P Oferta]]))=1,0,1-(Tabla1[[#This Row],[P Piso-25%]]/Tabla1[[#This Row],[P Oferta]]))</f>
        <v>0.98873195141038928</v>
      </c>
      <c r="L338" s="379"/>
      <c r="M338" s="469">
        <v>334</v>
      </c>
      <c r="N338" s="473"/>
      <c r="O338" s="473"/>
      <c r="P338" s="474"/>
      <c r="Q338" s="381"/>
      <c r="R338" s="380"/>
      <c r="S338" s="381"/>
      <c r="T338" s="106"/>
      <c r="W338" s="377">
        <v>0</v>
      </c>
    </row>
    <row r="339" spans="1:23" ht="13.5" customHeight="1">
      <c r="A339" s="477">
        <v>332</v>
      </c>
      <c r="B339" s="478" t="s">
        <v>308</v>
      </c>
      <c r="C339" s="378" t="s">
        <v>365</v>
      </c>
      <c r="D339" s="387">
        <f>VLOOKUP(A339,'Evento Cotiz'!$W$49:$Y$455,3,FALSE)</f>
        <v>0</v>
      </c>
      <c r="E339" s="422">
        <f>VLOOKUP(A339,'Evento Cotiz'!$A$49:$T$459,12,FALSE)</f>
        <v>5772184.8991999999</v>
      </c>
      <c r="F339" s="427">
        <f>VLOOKUP(A339,'Evento Cotiz'!$A$49:$T$459,13,FALSE)</f>
        <v>86581.451199999996</v>
      </c>
      <c r="G339" s="428">
        <f>Tabla1[[#This Row],[Cantidad]]*Tabla1[[#This Row],[P Piso]]</f>
        <v>0</v>
      </c>
      <c r="H339" s="433">
        <f>Tabla1[[#This Row],[P Piso]]-(Tabla1[[#This Row],[P Piso]]*20%)</f>
        <v>69265.160959999994</v>
      </c>
      <c r="I339" s="434">
        <f>IF((1-(Tabla1[[#This Row],[P Piso-20%]]/Tabla1[[#This Row],[P Oferta]]))=1,0,1-(Tabla1[[#This Row],[P Piso-20%]]/Tabla1[[#This Row],[P Oferta]]))</f>
        <v>0.98800018326342942</v>
      </c>
      <c r="J339" s="439">
        <f>Tabla1[[#This Row],[P Piso]]-(Tabla1[[#This Row],[P Piso]]*25%)</f>
        <v>64936.088399999993</v>
      </c>
      <c r="K339" s="440">
        <f>IF((1-(Tabla1[[#This Row],[P Piso-25%]]/Tabla1[[#This Row],[P Oferta]]))=1,0,1-(Tabla1[[#This Row],[P Piso-25%]]/Tabla1[[#This Row],[P Oferta]]))</f>
        <v>0.98875017180946512</v>
      </c>
      <c r="L339" s="379"/>
      <c r="M339" s="469">
        <v>335</v>
      </c>
      <c r="N339" s="473"/>
      <c r="O339" s="473"/>
      <c r="P339" s="474"/>
      <c r="Q339" s="381"/>
      <c r="R339" s="380"/>
      <c r="S339" s="381"/>
      <c r="T339" s="106"/>
      <c r="W339" s="377">
        <v>0</v>
      </c>
    </row>
    <row r="340" spans="1:23" ht="13.5" customHeight="1">
      <c r="A340" s="477">
        <v>333</v>
      </c>
      <c r="B340" s="478" t="s">
        <v>309</v>
      </c>
      <c r="C340" s="378" t="s">
        <v>365</v>
      </c>
      <c r="D340" s="387">
        <f>VLOOKUP(A340,'Evento Cotiz'!$W$49:$Y$455,3,FALSE)</f>
        <v>0</v>
      </c>
      <c r="E340" s="422">
        <f>VLOOKUP(A340,'Evento Cotiz'!$A$49:$T$459,12,FALSE)</f>
        <v>8884800.5823999997</v>
      </c>
      <c r="F340" s="427">
        <f>VLOOKUP(A340,'Evento Cotiz'!$A$49:$T$459,13,FALSE)</f>
        <v>87170.470400000006</v>
      </c>
      <c r="G340" s="428">
        <f>Tabla1[[#This Row],[Cantidad]]*Tabla1[[#This Row],[P Piso]]</f>
        <v>0</v>
      </c>
      <c r="H340" s="433">
        <f>Tabla1[[#This Row],[P Piso]]-(Tabla1[[#This Row],[P Piso]]*20%)</f>
        <v>69736.37632000001</v>
      </c>
      <c r="I340" s="434">
        <f>IF((1-(Tabla1[[#This Row],[P Piso-20%]]/Tabla1[[#This Row],[P Oferta]]))=1,0,1-(Tabla1[[#This Row],[P Piso-20%]]/Tabla1[[#This Row],[P Oferta]]))</f>
        <v>0.99215104766018702</v>
      </c>
      <c r="J340" s="439">
        <f>Tabla1[[#This Row],[P Piso]]-(Tabla1[[#This Row],[P Piso]]*25%)</f>
        <v>65377.852800000008</v>
      </c>
      <c r="K340" s="440">
        <f>IF((1-(Tabla1[[#This Row],[P Piso-25%]]/Tabla1[[#This Row],[P Oferta]]))=1,0,1-(Tabla1[[#This Row],[P Piso-25%]]/Tabla1[[#This Row],[P Oferta]]))</f>
        <v>0.99264160718142536</v>
      </c>
      <c r="L340" s="379"/>
      <c r="M340" s="469">
        <v>336</v>
      </c>
      <c r="N340" s="473"/>
      <c r="O340" s="473"/>
      <c r="P340" s="474"/>
      <c r="Q340" s="381"/>
      <c r="R340" s="380"/>
      <c r="S340" s="381"/>
      <c r="T340" s="106"/>
      <c r="W340" s="377">
        <v>0</v>
      </c>
    </row>
    <row r="341" spans="1:23" ht="13.5" customHeight="1">
      <c r="A341" s="477">
        <v>334</v>
      </c>
      <c r="B341" s="478" t="s">
        <v>310</v>
      </c>
      <c r="C341" s="378" t="s">
        <v>365</v>
      </c>
      <c r="D341" s="387">
        <f>VLOOKUP(A341,'Evento Cotiz'!$W$49:$Y$455,3,FALSE)</f>
        <v>0</v>
      </c>
      <c r="E341" s="422">
        <f>VLOOKUP(A341,'Evento Cotiz'!$A$49:$T$459,12,FALSE)</f>
        <v>8707198.7263999991</v>
      </c>
      <c r="F341" s="427">
        <f>VLOOKUP(A341,'Evento Cotiz'!$A$49:$T$459,13,FALSE)</f>
        <v>87170.470400000006</v>
      </c>
      <c r="G341" s="428">
        <f>Tabla1[[#This Row],[Cantidad]]*Tabla1[[#This Row],[P Piso]]</f>
        <v>0</v>
      </c>
      <c r="H341" s="433">
        <f>Tabla1[[#This Row],[P Piso]]-(Tabla1[[#This Row],[P Piso]]*20%)</f>
        <v>69736.37632000001</v>
      </c>
      <c r="I341" s="434">
        <f>IF((1-(Tabla1[[#This Row],[P Piso-20%]]/Tabla1[[#This Row],[P Oferta]]))=1,0,1-(Tabla1[[#This Row],[P Piso-20%]]/Tabla1[[#This Row],[P Oferta]]))</f>
        <v>0.99199095156648243</v>
      </c>
      <c r="J341" s="439">
        <f>Tabla1[[#This Row],[P Piso]]-(Tabla1[[#This Row],[P Piso]]*25%)</f>
        <v>65377.852800000008</v>
      </c>
      <c r="K341" s="440">
        <f>IF((1-(Tabla1[[#This Row],[P Piso-25%]]/Tabla1[[#This Row],[P Oferta]]))=1,0,1-(Tabla1[[#This Row],[P Piso-25%]]/Tabla1[[#This Row],[P Oferta]]))</f>
        <v>0.9924915170935773</v>
      </c>
      <c r="L341" s="379"/>
      <c r="M341" s="469">
        <v>337</v>
      </c>
      <c r="N341" s="473"/>
      <c r="O341" s="473"/>
      <c r="P341" s="474"/>
      <c r="Q341" s="381"/>
      <c r="R341" s="380"/>
      <c r="S341" s="381"/>
      <c r="T341" s="106"/>
      <c r="W341" s="377">
        <v>0</v>
      </c>
    </row>
    <row r="342" spans="1:23" ht="13.5" customHeight="1">
      <c r="A342" s="477">
        <v>335</v>
      </c>
      <c r="B342" s="478" t="s">
        <v>311</v>
      </c>
      <c r="C342" s="378" t="s">
        <v>365</v>
      </c>
      <c r="D342" s="387">
        <f>VLOOKUP(A342,'Evento Cotiz'!$W$49:$Y$455,3,FALSE)</f>
        <v>0</v>
      </c>
      <c r="E342" s="422">
        <f>VLOOKUP(A342,'Evento Cotiz'!$A$49:$T$459,12,FALSE)</f>
        <v>505472.45439999999</v>
      </c>
      <c r="F342" s="427">
        <f>VLOOKUP(A342,'Evento Cotiz'!$A$49:$T$459,13,FALSE)</f>
        <v>12845.864</v>
      </c>
      <c r="G342" s="428">
        <f>Tabla1[[#This Row],[Cantidad]]*Tabla1[[#This Row],[P Piso]]</f>
        <v>0</v>
      </c>
      <c r="H342" s="433">
        <f>Tabla1[[#This Row],[P Piso]]-(Tabla1[[#This Row],[P Piso]]*20%)</f>
        <v>10276.691199999999</v>
      </c>
      <c r="I342" s="434">
        <f>IF((1-(Tabla1[[#This Row],[P Piso-20%]]/Tabla1[[#This Row],[P Oferta]]))=1,0,1-(Tabla1[[#This Row],[P Piso-20%]]/Tabla1[[#This Row],[P Oferta]]))</f>
        <v>0.97966913704091252</v>
      </c>
      <c r="J342" s="439">
        <f>Tabla1[[#This Row],[P Piso]]-(Tabla1[[#This Row],[P Piso]]*25%)</f>
        <v>9634.3979999999992</v>
      </c>
      <c r="K342" s="440">
        <f>IF((1-(Tabla1[[#This Row],[P Piso-25%]]/Tabla1[[#This Row],[P Oferta]]))=1,0,1-(Tabla1[[#This Row],[P Piso-25%]]/Tabla1[[#This Row],[P Oferta]]))</f>
        <v>0.98093981597585544</v>
      </c>
      <c r="L342" s="379"/>
      <c r="M342" s="469">
        <v>338</v>
      </c>
      <c r="N342" s="473"/>
      <c r="O342" s="473"/>
      <c r="P342" s="474"/>
      <c r="Q342" s="381"/>
      <c r="R342" s="380"/>
      <c r="S342" s="381"/>
      <c r="T342" s="106"/>
      <c r="W342" s="377">
        <v>0</v>
      </c>
    </row>
    <row r="343" spans="1:23" ht="13.5" customHeight="1">
      <c r="A343" s="477">
        <v>336</v>
      </c>
      <c r="B343" s="478" t="s">
        <v>312</v>
      </c>
      <c r="C343" s="378" t="s">
        <v>365</v>
      </c>
      <c r="D343" s="387">
        <f>VLOOKUP(A343,'Evento Cotiz'!$W$49:$Y$455,3,FALSE)</f>
        <v>0</v>
      </c>
      <c r="E343" s="422">
        <f>VLOOKUP(A343,'Evento Cotiz'!$A$49:$T$459,12,FALSE)</f>
        <v>542409.09439999994</v>
      </c>
      <c r="F343" s="427">
        <f>VLOOKUP(A343,'Evento Cotiz'!$A$49:$T$459,13,FALSE)</f>
        <v>13971.448</v>
      </c>
      <c r="G343" s="428">
        <f>Tabla1[[#This Row],[Cantidad]]*Tabla1[[#This Row],[P Piso]]</f>
        <v>0</v>
      </c>
      <c r="H343" s="433">
        <f>Tabla1[[#This Row],[P Piso]]-(Tabla1[[#This Row],[P Piso]]*20%)</f>
        <v>11177.1584</v>
      </c>
      <c r="I343" s="434">
        <f>IF((1-(Tabla1[[#This Row],[P Piso-20%]]/Tabla1[[#This Row],[P Oferta]]))=1,0,1-(Tabla1[[#This Row],[P Piso-20%]]/Tabla1[[#This Row],[P Oferta]]))</f>
        <v>0.97939349005133491</v>
      </c>
      <c r="J343" s="439">
        <f>Tabla1[[#This Row],[P Piso]]-(Tabla1[[#This Row],[P Piso]]*25%)</f>
        <v>10478.585999999999</v>
      </c>
      <c r="K343" s="440">
        <f>IF((1-(Tabla1[[#This Row],[P Piso-25%]]/Tabla1[[#This Row],[P Oferta]]))=1,0,1-(Tabla1[[#This Row],[P Piso-25%]]/Tabla1[[#This Row],[P Oferta]]))</f>
        <v>0.9806813969231265</v>
      </c>
      <c r="L343" s="379"/>
      <c r="M343" s="469">
        <v>339</v>
      </c>
      <c r="N343" s="473"/>
      <c r="O343" s="473"/>
      <c r="P343" s="474"/>
      <c r="Q343" s="381"/>
      <c r="R343" s="380"/>
      <c r="S343" s="381"/>
      <c r="T343" s="106"/>
      <c r="W343" s="377">
        <v>0</v>
      </c>
    </row>
    <row r="344" spans="1:23" ht="13.5" customHeight="1">
      <c r="A344" s="477">
        <v>337</v>
      </c>
      <c r="B344" s="478" t="s">
        <v>313</v>
      </c>
      <c r="C344" s="378" t="s">
        <v>365</v>
      </c>
      <c r="D344" s="387">
        <f>VLOOKUP(A344,'Evento Cotiz'!$W$49:$Y$455,3,FALSE)</f>
        <v>0</v>
      </c>
      <c r="E344" s="422">
        <f>VLOOKUP(A344,'Evento Cotiz'!$A$49:$T$459,12,FALSE)</f>
        <v>924572.18240000005</v>
      </c>
      <c r="F344" s="427">
        <f>VLOOKUP(A344,'Evento Cotiz'!$A$49:$T$459,13,FALSE)</f>
        <v>15571.307199999999</v>
      </c>
      <c r="G344" s="428">
        <f>Tabla1[[#This Row],[Cantidad]]*Tabla1[[#This Row],[P Piso]]</f>
        <v>0</v>
      </c>
      <c r="H344" s="433">
        <f>Tabla1[[#This Row],[P Piso]]-(Tabla1[[#This Row],[P Piso]]*20%)</f>
        <v>12457.045759999999</v>
      </c>
      <c r="I344" s="434">
        <f>IF((1-(Tabla1[[#This Row],[P Piso-20%]]/Tabla1[[#This Row],[P Oferta]]))=1,0,1-(Tabla1[[#This Row],[P Piso-20%]]/Tabla1[[#This Row],[P Oferta]]))</f>
        <v>0.98652669202347831</v>
      </c>
      <c r="J344" s="439">
        <f>Tabla1[[#This Row],[P Piso]]-(Tabla1[[#This Row],[P Piso]]*25%)</f>
        <v>11678.4804</v>
      </c>
      <c r="K344" s="440">
        <f>IF((1-(Tabla1[[#This Row],[P Piso-25%]]/Tabla1[[#This Row],[P Oferta]]))=1,0,1-(Tabla1[[#This Row],[P Piso-25%]]/Tabla1[[#This Row],[P Oferta]]))</f>
        <v>0.98736877377201093</v>
      </c>
      <c r="L344" s="379"/>
      <c r="M344" s="469">
        <v>340</v>
      </c>
      <c r="N344" s="473"/>
      <c r="O344" s="473"/>
      <c r="P344" s="474"/>
      <c r="Q344" s="381"/>
      <c r="R344" s="380"/>
      <c r="S344" s="381"/>
      <c r="T344" s="106"/>
      <c r="W344" s="377">
        <v>0</v>
      </c>
    </row>
    <row r="345" spans="1:23" ht="13.5" customHeight="1">
      <c r="A345" s="477">
        <v>338</v>
      </c>
      <c r="B345" s="478" t="s">
        <v>314</v>
      </c>
      <c r="C345" s="378" t="s">
        <v>365</v>
      </c>
      <c r="D345" s="387">
        <f>VLOOKUP(A345,'Evento Cotiz'!$W$49:$Y$455,3,FALSE)</f>
        <v>0</v>
      </c>
      <c r="E345" s="422">
        <f>VLOOKUP(A345,'Evento Cotiz'!$A$49:$T$459,12,FALSE)</f>
        <v>1213986.0560000001</v>
      </c>
      <c r="F345" s="427">
        <f>VLOOKUP(A345,'Evento Cotiz'!$A$49:$T$459,13,FALSE)</f>
        <v>16322.060799999999</v>
      </c>
      <c r="G345" s="428">
        <f>Tabla1[[#This Row],[Cantidad]]*Tabla1[[#This Row],[P Piso]]</f>
        <v>0</v>
      </c>
      <c r="H345" s="433">
        <f>Tabla1[[#This Row],[P Piso]]-(Tabla1[[#This Row],[P Piso]]*20%)</f>
        <v>13057.648639999999</v>
      </c>
      <c r="I345" s="434">
        <f>IF((1-(Tabla1[[#This Row],[P Piso-20%]]/Tabla1[[#This Row],[P Oferta]]))=1,0,1-(Tabla1[[#This Row],[P Piso-20%]]/Tabla1[[#This Row],[P Oferta]]))</f>
        <v>0.98924398795565738</v>
      </c>
      <c r="J345" s="439">
        <f>Tabla1[[#This Row],[P Piso]]-(Tabla1[[#This Row],[P Piso]]*25%)</f>
        <v>12241.545599999999</v>
      </c>
      <c r="K345" s="440">
        <f>IF((1-(Tabla1[[#This Row],[P Piso-25%]]/Tabla1[[#This Row],[P Oferta]]))=1,0,1-(Tabla1[[#This Row],[P Piso-25%]]/Tabla1[[#This Row],[P Oferta]]))</f>
        <v>0.98991623870842882</v>
      </c>
      <c r="L345" s="379"/>
      <c r="M345" s="469">
        <v>341</v>
      </c>
      <c r="N345" s="473"/>
      <c r="O345" s="473"/>
      <c r="P345" s="474"/>
      <c r="Q345" s="381"/>
      <c r="R345" s="380"/>
      <c r="S345" s="381"/>
      <c r="T345" s="106"/>
      <c r="W345" s="377">
        <v>0</v>
      </c>
    </row>
    <row r="346" spans="1:23" ht="13.5" customHeight="1">
      <c r="A346" s="477">
        <v>339</v>
      </c>
      <c r="B346" s="478" t="s">
        <v>315</v>
      </c>
      <c r="C346" s="378" t="s">
        <v>365</v>
      </c>
      <c r="D346" s="387">
        <f>VLOOKUP(A346,'Evento Cotiz'!$W$49:$Y$455,3,FALSE)</f>
        <v>0</v>
      </c>
      <c r="E346" s="422">
        <f>VLOOKUP(A346,'Evento Cotiz'!$A$49:$T$459,12,FALSE)</f>
        <v>1288193.7327999999</v>
      </c>
      <c r="F346" s="427">
        <f>VLOOKUP(A346,'Evento Cotiz'!$A$49:$T$459,13,FALSE)</f>
        <v>15433.6144</v>
      </c>
      <c r="G346" s="428">
        <f>Tabla1[[#This Row],[Cantidad]]*Tabla1[[#This Row],[P Piso]]</f>
        <v>0</v>
      </c>
      <c r="H346" s="433">
        <f>Tabla1[[#This Row],[P Piso]]-(Tabla1[[#This Row],[P Piso]]*20%)</f>
        <v>12346.891520000001</v>
      </c>
      <c r="I346" s="434">
        <f>IF((1-(Tabla1[[#This Row],[P Piso-20%]]/Tabla1[[#This Row],[P Oferta]]))=1,0,1-(Tabla1[[#This Row],[P Piso-20%]]/Tabla1[[#This Row],[P Oferta]]))</f>
        <v>0.99041534576234669</v>
      </c>
      <c r="J346" s="439">
        <f>Tabla1[[#This Row],[P Piso]]-(Tabla1[[#This Row],[P Piso]]*25%)</f>
        <v>11575.210800000001</v>
      </c>
      <c r="K346" s="440">
        <f>IF((1-(Tabla1[[#This Row],[P Piso-25%]]/Tabla1[[#This Row],[P Oferta]]))=1,0,1-(Tabla1[[#This Row],[P Piso-25%]]/Tabla1[[#This Row],[P Oferta]]))</f>
        <v>0.99101438665219999</v>
      </c>
      <c r="L346" s="379"/>
      <c r="M346" s="469">
        <v>342</v>
      </c>
      <c r="N346" s="473"/>
      <c r="O346" s="473"/>
      <c r="P346" s="474"/>
      <c r="Q346" s="381"/>
      <c r="R346" s="380"/>
      <c r="S346" s="381"/>
      <c r="T346" s="106"/>
      <c r="W346" s="377">
        <v>0</v>
      </c>
    </row>
    <row r="347" spans="1:23" ht="13.5" customHeight="1">
      <c r="A347" s="477">
        <v>340</v>
      </c>
      <c r="B347" s="478" t="s">
        <v>316</v>
      </c>
      <c r="C347" s="378" t="s">
        <v>365</v>
      </c>
      <c r="D347" s="387">
        <f>VLOOKUP(A347,'Evento Cotiz'!$W$49:$Y$455,3,FALSE)</f>
        <v>0</v>
      </c>
      <c r="E347" s="422">
        <f>VLOOKUP(A347,'Evento Cotiz'!$A$49:$T$459,12,FALSE)</f>
        <v>1307490.3951999999</v>
      </c>
      <c r="F347" s="427">
        <f>VLOOKUP(A347,'Evento Cotiz'!$A$49:$T$459,13,FALSE)</f>
        <v>31750.211199999998</v>
      </c>
      <c r="G347" s="428">
        <f>Tabla1[[#This Row],[Cantidad]]*Tabla1[[#This Row],[P Piso]]</f>
        <v>0</v>
      </c>
      <c r="H347" s="433">
        <f>Tabla1[[#This Row],[P Piso]]-(Tabla1[[#This Row],[P Piso]]*20%)</f>
        <v>25400.168959999999</v>
      </c>
      <c r="I347" s="434">
        <f>IF((1-(Tabla1[[#This Row],[P Piso-20%]]/Tabla1[[#This Row],[P Oferta]]))=1,0,1-(Tabla1[[#This Row],[P Piso-20%]]/Tabla1[[#This Row],[P Oferta]]))</f>
        <v>0.98057334183620171</v>
      </c>
      <c r="J347" s="439">
        <f>Tabla1[[#This Row],[P Piso]]-(Tabla1[[#This Row],[P Piso]]*25%)</f>
        <v>23812.6584</v>
      </c>
      <c r="K347" s="440">
        <f>IF((1-(Tabla1[[#This Row],[P Piso-25%]]/Tabla1[[#This Row],[P Oferta]]))=1,0,1-(Tabla1[[#This Row],[P Piso-25%]]/Tabla1[[#This Row],[P Oferta]]))</f>
        <v>0.9817875079714391</v>
      </c>
      <c r="L347" s="379"/>
      <c r="M347" s="469">
        <v>343</v>
      </c>
      <c r="N347" s="473"/>
      <c r="O347" s="473"/>
      <c r="P347" s="474"/>
      <c r="Q347" s="381"/>
      <c r="R347" s="380"/>
      <c r="S347" s="381"/>
      <c r="T347" s="106"/>
      <c r="W347" s="377">
        <v>0</v>
      </c>
    </row>
    <row r="348" spans="1:23" ht="13.5" customHeight="1">
      <c r="A348" s="477">
        <v>341</v>
      </c>
      <c r="B348" s="478" t="s">
        <v>317</v>
      </c>
      <c r="C348" s="378" t="s">
        <v>365</v>
      </c>
      <c r="D348" s="387">
        <f>VLOOKUP(A348,'Evento Cotiz'!$W$49:$Y$455,3,FALSE)</f>
        <v>0</v>
      </c>
      <c r="E348" s="422">
        <f>VLOOKUP(A348,'Evento Cotiz'!$A$49:$T$459,12,FALSE)</f>
        <v>90710.049599999998</v>
      </c>
      <c r="F348" s="427">
        <f>VLOOKUP(A348,'Evento Cotiz'!$A$49:$T$459,13,FALSE)</f>
        <v>911.39519999999993</v>
      </c>
      <c r="G348" s="428">
        <f>Tabla1[[#This Row],[Cantidad]]*Tabla1[[#This Row],[P Piso]]</f>
        <v>0</v>
      </c>
      <c r="H348" s="433">
        <f>Tabla1[[#This Row],[P Piso]]-(Tabla1[[#This Row],[P Piso]]*20%)</f>
        <v>729.11615999999992</v>
      </c>
      <c r="I348" s="434">
        <f>IF((1-(Tabla1[[#This Row],[P Piso-20%]]/Tabla1[[#This Row],[P Oferta]]))=1,0,1-(Tabla1[[#This Row],[P Piso-20%]]/Tabla1[[#This Row],[P Oferta]]))</f>
        <v>0.99196212367631642</v>
      </c>
      <c r="J348" s="439">
        <f>Tabla1[[#This Row],[P Piso]]-(Tabla1[[#This Row],[P Piso]]*25%)</f>
        <v>683.54639999999995</v>
      </c>
      <c r="K348" s="440">
        <f>IF((1-(Tabla1[[#This Row],[P Piso-25%]]/Tabla1[[#This Row],[P Oferta]]))=1,0,1-(Tabla1[[#This Row],[P Piso-25%]]/Tabla1[[#This Row],[P Oferta]]))</f>
        <v>0.99246449094654665</v>
      </c>
      <c r="L348" s="379"/>
      <c r="M348" s="469">
        <v>344</v>
      </c>
      <c r="N348" s="473"/>
      <c r="O348" s="473"/>
      <c r="P348" s="474"/>
      <c r="Q348" s="381"/>
      <c r="R348" s="380"/>
      <c r="S348" s="381"/>
      <c r="T348" s="106"/>
      <c r="W348" s="377">
        <v>0</v>
      </c>
    </row>
    <row r="349" spans="1:23" ht="13.5" customHeight="1">
      <c r="A349" s="477">
        <v>342</v>
      </c>
      <c r="B349" s="478" t="s">
        <v>318</v>
      </c>
      <c r="C349" s="378" t="s">
        <v>365</v>
      </c>
      <c r="D349" s="387">
        <f>VLOOKUP(A349,'Evento Cotiz'!$W$49:$Y$455,3,FALSE)</f>
        <v>0</v>
      </c>
      <c r="E349" s="422">
        <f>VLOOKUP(A349,'Evento Cotiz'!$A$49:$T$459,12,FALSE)</f>
        <v>89004.188800000004</v>
      </c>
      <c r="F349" s="427">
        <f>VLOOKUP(A349,'Evento Cotiz'!$A$49:$T$459,13,FALSE)</f>
        <v>810.85760000000005</v>
      </c>
      <c r="G349" s="428">
        <f>Tabla1[[#This Row],[Cantidad]]*Tabla1[[#This Row],[P Piso]]</f>
        <v>0</v>
      </c>
      <c r="H349" s="433">
        <f>Tabla1[[#This Row],[P Piso]]-(Tabla1[[#This Row],[P Piso]]*20%)</f>
        <v>648.68608000000006</v>
      </c>
      <c r="I349" s="434">
        <f>IF((1-(Tabla1[[#This Row],[P Piso-20%]]/Tabla1[[#This Row],[P Oferta]]))=1,0,1-(Tabla1[[#This Row],[P Piso-20%]]/Tabla1[[#This Row],[P Oferta]]))</f>
        <v>0.9927117353829531</v>
      </c>
      <c r="J349" s="439">
        <f>Tabla1[[#This Row],[P Piso]]-(Tabla1[[#This Row],[P Piso]]*25%)</f>
        <v>608.14319999999998</v>
      </c>
      <c r="K349" s="440">
        <f>IF((1-(Tabla1[[#This Row],[P Piso-25%]]/Tabla1[[#This Row],[P Oferta]]))=1,0,1-(Tabla1[[#This Row],[P Piso-25%]]/Tabla1[[#This Row],[P Oferta]]))</f>
        <v>0.99316725192151856</v>
      </c>
      <c r="L349" s="379"/>
      <c r="M349" s="469">
        <v>345</v>
      </c>
      <c r="N349" s="473"/>
      <c r="O349" s="473"/>
      <c r="P349" s="474"/>
      <c r="Q349" s="381"/>
      <c r="R349" s="380"/>
      <c r="S349" s="381"/>
      <c r="T349" s="106"/>
      <c r="W349" s="377">
        <v>0</v>
      </c>
    </row>
    <row r="350" spans="1:23" ht="13.5" customHeight="1">
      <c r="A350" s="477">
        <v>343</v>
      </c>
      <c r="B350" s="478" t="s">
        <v>319</v>
      </c>
      <c r="C350" s="378" t="s">
        <v>365</v>
      </c>
      <c r="D350" s="387">
        <f>VLOOKUP(A350,'Evento Cotiz'!$W$49:$Y$455,3,FALSE)</f>
        <v>0</v>
      </c>
      <c r="E350" s="422">
        <f>VLOOKUP(A350,'Evento Cotiz'!$A$49:$T$459,12,FALSE)</f>
        <v>33587.207999999999</v>
      </c>
      <c r="F350" s="427">
        <f>VLOOKUP(A350,'Evento Cotiz'!$A$49:$T$459,13,FALSE)</f>
        <v>526.7296</v>
      </c>
      <c r="G350" s="428">
        <f>Tabla1[[#This Row],[Cantidad]]*Tabla1[[#This Row],[P Piso]]</f>
        <v>0</v>
      </c>
      <c r="H350" s="433">
        <f>Tabla1[[#This Row],[P Piso]]-(Tabla1[[#This Row],[P Piso]]*20%)</f>
        <v>421.38368000000003</v>
      </c>
      <c r="I350" s="434">
        <f>IF((1-(Tabla1[[#This Row],[P Piso-20%]]/Tabla1[[#This Row],[P Oferta]]))=1,0,1-(Tabla1[[#This Row],[P Piso-20%]]/Tabla1[[#This Row],[P Oferta]]))</f>
        <v>0.98745404262241743</v>
      </c>
      <c r="J350" s="439">
        <f>Tabla1[[#This Row],[P Piso]]-(Tabla1[[#This Row],[P Piso]]*25%)</f>
        <v>395.04719999999998</v>
      </c>
      <c r="K350" s="440">
        <f>IF((1-(Tabla1[[#This Row],[P Piso-25%]]/Tabla1[[#This Row],[P Oferta]]))=1,0,1-(Tabla1[[#This Row],[P Piso-25%]]/Tabla1[[#This Row],[P Oferta]]))</f>
        <v>0.98823816495851635</v>
      </c>
      <c r="L350" s="379"/>
      <c r="M350" s="469">
        <v>346</v>
      </c>
      <c r="N350" s="473"/>
      <c r="O350" s="473"/>
      <c r="P350" s="474"/>
      <c r="Q350" s="381"/>
      <c r="R350" s="380"/>
      <c r="S350" s="381"/>
      <c r="T350" s="106"/>
      <c r="W350" s="377">
        <v>0</v>
      </c>
    </row>
    <row r="351" spans="1:23" ht="13.5" customHeight="1">
      <c r="A351" s="477">
        <v>344</v>
      </c>
      <c r="B351" s="478" t="s">
        <v>320</v>
      </c>
      <c r="C351" s="378" t="s">
        <v>365</v>
      </c>
      <c r="D351" s="387">
        <f>VLOOKUP(A351,'Evento Cotiz'!$W$49:$Y$455,3,FALSE)</f>
        <v>0</v>
      </c>
      <c r="E351" s="422">
        <f>VLOOKUP(A351,'Evento Cotiz'!$A$49:$T$459,12,FALSE)</f>
        <v>23883.144</v>
      </c>
      <c r="F351" s="427">
        <f>VLOOKUP(A351,'Evento Cotiz'!$A$49:$T$459,13,FALSE)</f>
        <v>685.18560000000002</v>
      </c>
      <c r="G351" s="428">
        <f>Tabla1[[#This Row],[Cantidad]]*Tabla1[[#This Row],[P Piso]]</f>
        <v>0</v>
      </c>
      <c r="H351" s="433">
        <f>Tabla1[[#This Row],[P Piso]]-(Tabla1[[#This Row],[P Piso]]*20%)</f>
        <v>548.14848000000006</v>
      </c>
      <c r="I351" s="434">
        <f>IF((1-(Tabla1[[#This Row],[P Piso-20%]]/Tabla1[[#This Row],[P Oferta]]))=1,0,1-(Tabla1[[#This Row],[P Piso-20%]]/Tabla1[[#This Row],[P Oferta]]))</f>
        <v>0.97704873026767325</v>
      </c>
      <c r="J351" s="439">
        <f>Tabla1[[#This Row],[P Piso]]-(Tabla1[[#This Row],[P Piso]]*25%)</f>
        <v>513.88920000000007</v>
      </c>
      <c r="K351" s="440">
        <f>IF((1-(Tabla1[[#This Row],[P Piso-25%]]/Tabla1[[#This Row],[P Oferta]]))=1,0,1-(Tabla1[[#This Row],[P Piso-25%]]/Tabla1[[#This Row],[P Oferta]]))</f>
        <v>0.97848318462594375</v>
      </c>
      <c r="L351" s="379"/>
      <c r="M351" s="469">
        <v>347</v>
      </c>
      <c r="N351" s="473"/>
      <c r="O351" s="473"/>
      <c r="P351" s="474"/>
      <c r="Q351" s="381"/>
      <c r="R351" s="380"/>
      <c r="S351" s="381"/>
      <c r="T351" s="106"/>
      <c r="W351" s="377">
        <v>0</v>
      </c>
    </row>
    <row r="352" spans="1:23" ht="13.5" customHeight="1">
      <c r="A352" s="477">
        <v>345</v>
      </c>
      <c r="B352" s="478" t="s">
        <v>321</v>
      </c>
      <c r="C352" s="378" t="s">
        <v>365</v>
      </c>
      <c r="D352" s="387">
        <f>VLOOKUP(A352,'Evento Cotiz'!$W$49:$Y$455,3,FALSE)</f>
        <v>0</v>
      </c>
      <c r="E352" s="422">
        <f>VLOOKUP(A352,'Evento Cotiz'!$A$49:$T$459,12,FALSE)</f>
        <v>89189.964800000002</v>
      </c>
      <c r="F352" s="427">
        <f>VLOOKUP(A352,'Evento Cotiz'!$A$49:$T$459,13,FALSE)</f>
        <v>865.49760000000003</v>
      </c>
      <c r="G352" s="428">
        <f>Tabla1[[#This Row],[Cantidad]]*Tabla1[[#This Row],[P Piso]]</f>
        <v>0</v>
      </c>
      <c r="H352" s="433">
        <f>Tabla1[[#This Row],[P Piso]]-(Tabla1[[#This Row],[P Piso]]*20%)</f>
        <v>692.39808000000005</v>
      </c>
      <c r="I352" s="434">
        <f>IF((1-(Tabla1[[#This Row],[P Piso-20%]]/Tabla1[[#This Row],[P Oferta]]))=1,0,1-(Tabla1[[#This Row],[P Piso-20%]]/Tabla1[[#This Row],[P Oferta]]))</f>
        <v>0.99223681631052729</v>
      </c>
      <c r="J352" s="439">
        <f>Tabla1[[#This Row],[P Piso]]-(Tabla1[[#This Row],[P Piso]]*25%)</f>
        <v>649.1232</v>
      </c>
      <c r="K352" s="440">
        <f>IF((1-(Tabla1[[#This Row],[P Piso-25%]]/Tabla1[[#This Row],[P Oferta]]))=1,0,1-(Tabla1[[#This Row],[P Piso-25%]]/Tabla1[[#This Row],[P Oferta]]))</f>
        <v>0.99272201529111936</v>
      </c>
      <c r="L352" s="379"/>
      <c r="M352" s="469">
        <v>348</v>
      </c>
      <c r="N352" s="473"/>
      <c r="O352" s="473"/>
      <c r="P352" s="474"/>
      <c r="Q352" s="381"/>
      <c r="R352" s="380"/>
      <c r="S352" s="381"/>
      <c r="T352" s="106"/>
      <c r="W352" s="377">
        <v>0</v>
      </c>
    </row>
    <row r="353" spans="1:23" ht="13.5" customHeight="1">
      <c r="A353" s="477">
        <v>346</v>
      </c>
      <c r="B353" s="478" t="s">
        <v>322</v>
      </c>
      <c r="C353" s="378" t="s">
        <v>365</v>
      </c>
      <c r="D353" s="387">
        <f>VLOOKUP(A353,'Evento Cotiz'!$W$49:$Y$455,3,FALSE)</f>
        <v>0</v>
      </c>
      <c r="E353" s="422">
        <f>VLOOKUP(A353,'Evento Cotiz'!$A$49:$T$459,12,FALSE)</f>
        <v>119191.696</v>
      </c>
      <c r="F353" s="427">
        <f>VLOOKUP(A353,'Evento Cotiz'!$A$49:$T$459,13,FALSE)</f>
        <v>1328.8448000000001</v>
      </c>
      <c r="G353" s="428">
        <f>Tabla1[[#This Row],[Cantidad]]*Tabla1[[#This Row],[P Piso]]</f>
        <v>0</v>
      </c>
      <c r="H353" s="433">
        <f>Tabla1[[#This Row],[P Piso]]-(Tabla1[[#This Row],[P Piso]]*20%)</f>
        <v>1063.07584</v>
      </c>
      <c r="I353" s="434">
        <f>IF((1-(Tabla1[[#This Row],[P Piso-20%]]/Tabla1[[#This Row],[P Oferta]]))=1,0,1-(Tabla1[[#This Row],[P Piso-20%]]/Tabla1[[#This Row],[P Oferta]]))</f>
        <v>0.99108095718346012</v>
      </c>
      <c r="J353" s="439">
        <f>Tabla1[[#This Row],[P Piso]]-(Tabla1[[#This Row],[P Piso]]*25%)</f>
        <v>996.63360000000011</v>
      </c>
      <c r="K353" s="440">
        <f>IF((1-(Tabla1[[#This Row],[P Piso-25%]]/Tabla1[[#This Row],[P Oferta]]))=1,0,1-(Tabla1[[#This Row],[P Piso-25%]]/Tabla1[[#This Row],[P Oferta]]))</f>
        <v>0.99163839735949388</v>
      </c>
      <c r="L353" s="379"/>
      <c r="M353" s="469">
        <v>349</v>
      </c>
      <c r="N353" s="473"/>
      <c r="O353" s="473"/>
      <c r="P353" s="474"/>
      <c r="Q353" s="381"/>
      <c r="R353" s="380"/>
      <c r="S353" s="381"/>
      <c r="T353" s="106"/>
      <c r="W353" s="377">
        <v>0</v>
      </c>
    </row>
    <row r="354" spans="1:23" ht="13.5" customHeight="1">
      <c r="A354" s="477">
        <v>347</v>
      </c>
      <c r="B354" s="478" t="s">
        <v>323</v>
      </c>
      <c r="C354" s="378" t="s">
        <v>365</v>
      </c>
      <c r="D354" s="387">
        <f>VLOOKUP(A354,'Evento Cotiz'!$W$49:$Y$455,3,FALSE)</f>
        <v>0</v>
      </c>
      <c r="E354" s="422">
        <f>VLOOKUP(A354,'Evento Cotiz'!$A$49:$T$459,12,FALSE)</f>
        <v>124420.74400000001</v>
      </c>
      <c r="F354" s="427">
        <f>VLOOKUP(A354,'Evento Cotiz'!$A$49:$T$459,13,FALSE)</f>
        <v>937.62239999999997</v>
      </c>
      <c r="G354" s="428">
        <f>Tabla1[[#This Row],[Cantidad]]*Tabla1[[#This Row],[P Piso]]</f>
        <v>0</v>
      </c>
      <c r="H354" s="433">
        <f>Tabla1[[#This Row],[P Piso]]-(Tabla1[[#This Row],[P Piso]]*20%)</f>
        <v>750.09791999999993</v>
      </c>
      <c r="I354" s="434">
        <f>IF((1-(Tabla1[[#This Row],[P Piso-20%]]/Tabla1[[#This Row],[P Oferta]]))=1,0,1-(Tabla1[[#This Row],[P Piso-20%]]/Tabla1[[#This Row],[P Oferta]]))</f>
        <v>0.99397127925870621</v>
      </c>
      <c r="J354" s="439">
        <f>Tabla1[[#This Row],[P Piso]]-(Tabla1[[#This Row],[P Piso]]*25%)</f>
        <v>703.21679999999992</v>
      </c>
      <c r="K354" s="440">
        <f>IF((1-(Tabla1[[#This Row],[P Piso-25%]]/Tabla1[[#This Row],[P Oferta]]))=1,0,1-(Tabla1[[#This Row],[P Piso-25%]]/Tabla1[[#This Row],[P Oferta]]))</f>
        <v>0.99434807430503713</v>
      </c>
      <c r="L354" s="379"/>
      <c r="M354" s="469">
        <v>350</v>
      </c>
      <c r="N354" s="473"/>
      <c r="O354" s="473"/>
      <c r="P354" s="474"/>
      <c r="Q354" s="381"/>
      <c r="R354" s="380"/>
      <c r="S354" s="381"/>
      <c r="T354" s="106"/>
      <c r="W354" s="377">
        <v>0</v>
      </c>
    </row>
    <row r="355" spans="1:23" ht="13.5" customHeight="1">
      <c r="A355" s="477">
        <v>348</v>
      </c>
      <c r="B355" s="478" t="s">
        <v>324</v>
      </c>
      <c r="C355" s="378" t="s">
        <v>365</v>
      </c>
      <c r="D355" s="387">
        <f>VLOOKUP(A355,'Evento Cotiz'!$W$49:$Y$455,3,FALSE)</f>
        <v>0</v>
      </c>
      <c r="E355" s="422">
        <f>VLOOKUP(A355,'Evento Cotiz'!$A$49:$T$459,12,FALSE)</f>
        <v>125187.88959999999</v>
      </c>
      <c r="F355" s="427">
        <f>VLOOKUP(A355,'Evento Cotiz'!$A$49:$T$459,13,FALSE)</f>
        <v>937.62239999999997</v>
      </c>
      <c r="G355" s="428">
        <f>Tabla1[[#This Row],[Cantidad]]*Tabla1[[#This Row],[P Piso]]</f>
        <v>0</v>
      </c>
      <c r="H355" s="433">
        <f>Tabla1[[#This Row],[P Piso]]-(Tabla1[[#This Row],[P Piso]]*20%)</f>
        <v>750.09791999999993</v>
      </c>
      <c r="I355" s="434">
        <f>IF((1-(Tabla1[[#This Row],[P Piso-20%]]/Tabla1[[#This Row],[P Oferta]]))=1,0,1-(Tabla1[[#This Row],[P Piso-20%]]/Tabla1[[#This Row],[P Oferta]]))</f>
        <v>0.99400822298069957</v>
      </c>
      <c r="J355" s="439">
        <f>Tabla1[[#This Row],[P Piso]]-(Tabla1[[#This Row],[P Piso]]*25%)</f>
        <v>703.21679999999992</v>
      </c>
      <c r="K355" s="440">
        <f>IF((1-(Tabla1[[#This Row],[P Piso-25%]]/Tabla1[[#This Row],[P Oferta]]))=1,0,1-(Tabla1[[#This Row],[P Piso-25%]]/Tabla1[[#This Row],[P Oferta]]))</f>
        <v>0.99438270904440584</v>
      </c>
      <c r="L355" s="379"/>
      <c r="M355" s="469">
        <v>351</v>
      </c>
      <c r="N355" s="473"/>
      <c r="O355" s="473"/>
      <c r="P355" s="474"/>
      <c r="Q355" s="381"/>
      <c r="R355" s="380"/>
      <c r="S355" s="381"/>
      <c r="T355" s="106"/>
      <c r="W355" s="377">
        <v>0</v>
      </c>
    </row>
    <row r="356" spans="1:23" ht="13.5" customHeight="1">
      <c r="A356" s="477">
        <v>349</v>
      </c>
      <c r="B356" s="478" t="s">
        <v>325</v>
      </c>
      <c r="C356" s="378" t="s">
        <v>365</v>
      </c>
      <c r="D356" s="387">
        <f>VLOOKUP(A356,'Evento Cotiz'!$W$49:$Y$455,3,FALSE)</f>
        <v>0</v>
      </c>
      <c r="E356" s="422">
        <f>VLOOKUP(A356,'Evento Cotiz'!$A$49:$T$459,12,FALSE)</f>
        <v>61079.8704</v>
      </c>
      <c r="F356" s="427">
        <f>VLOOKUP(A356,'Evento Cotiz'!$A$49:$T$459,13,FALSE)</f>
        <v>937.62239999999997</v>
      </c>
      <c r="G356" s="428">
        <f>Tabla1[[#This Row],[Cantidad]]*Tabla1[[#This Row],[P Piso]]</f>
        <v>0</v>
      </c>
      <c r="H356" s="433">
        <f>Tabla1[[#This Row],[P Piso]]-(Tabla1[[#This Row],[P Piso]]*20%)</f>
        <v>750.09791999999993</v>
      </c>
      <c r="I356" s="434">
        <f>IF((1-(Tabla1[[#This Row],[P Piso-20%]]/Tabla1[[#This Row],[P Oferta]]))=1,0,1-(Tabla1[[#This Row],[P Piso-20%]]/Tabla1[[#This Row],[P Oferta]]))</f>
        <v>0.98771939241049866</v>
      </c>
      <c r="J356" s="439">
        <f>Tabla1[[#This Row],[P Piso]]-(Tabla1[[#This Row],[P Piso]]*25%)</f>
        <v>703.21679999999992</v>
      </c>
      <c r="K356" s="440">
        <f>IF((1-(Tabla1[[#This Row],[P Piso-25%]]/Tabla1[[#This Row],[P Oferta]]))=1,0,1-(Tabla1[[#This Row],[P Piso-25%]]/Tabla1[[#This Row],[P Oferta]]))</f>
        <v>0.98848693038484248</v>
      </c>
      <c r="L356" s="379"/>
      <c r="M356" s="469">
        <v>352</v>
      </c>
      <c r="N356" s="473"/>
      <c r="O356" s="473"/>
      <c r="P356" s="474"/>
      <c r="Q356" s="381"/>
      <c r="R356" s="380"/>
      <c r="S356" s="381"/>
      <c r="T356" s="106"/>
      <c r="W356" s="377">
        <v>0</v>
      </c>
    </row>
    <row r="357" spans="1:23" ht="13.5" customHeight="1">
      <c r="A357" s="477">
        <v>350</v>
      </c>
      <c r="B357" s="478" t="s">
        <v>326</v>
      </c>
      <c r="C357" s="378" t="s">
        <v>365</v>
      </c>
      <c r="D357" s="387">
        <f>VLOOKUP(A357,'Evento Cotiz'!$W$49:$Y$455,3,FALSE)</f>
        <v>0</v>
      </c>
      <c r="E357" s="422">
        <f>VLOOKUP(A357,'Evento Cotiz'!$A$49:$T$459,12,FALSE)</f>
        <v>84170.734400000001</v>
      </c>
      <c r="F357" s="427">
        <f>VLOOKUP(A357,'Evento Cotiz'!$A$49:$T$459,13,FALSE)</f>
        <v>1374.7424000000001</v>
      </c>
      <c r="G357" s="428">
        <f>Tabla1[[#This Row],[Cantidad]]*Tabla1[[#This Row],[P Piso]]</f>
        <v>0</v>
      </c>
      <c r="H357" s="433">
        <f>Tabla1[[#This Row],[P Piso]]-(Tabla1[[#This Row],[P Piso]]*20%)</f>
        <v>1099.7939200000001</v>
      </c>
      <c r="I357" s="434">
        <f>IF((1-(Tabla1[[#This Row],[P Piso-20%]]/Tabla1[[#This Row],[P Oferta]]))=1,0,1-(Tabla1[[#This Row],[P Piso-20%]]/Tabla1[[#This Row],[P Oferta]]))</f>
        <v>0.98693377302883556</v>
      </c>
      <c r="J357" s="439">
        <f>Tabla1[[#This Row],[P Piso]]-(Tabla1[[#This Row],[P Piso]]*25%)</f>
        <v>1031.0568000000001</v>
      </c>
      <c r="K357" s="440">
        <f>IF((1-(Tabla1[[#This Row],[P Piso-25%]]/Tabla1[[#This Row],[P Oferta]]))=1,0,1-(Tabla1[[#This Row],[P Piso-25%]]/Tabla1[[#This Row],[P Oferta]]))</f>
        <v>0.9877504122145333</v>
      </c>
      <c r="L357" s="379"/>
      <c r="M357" s="469">
        <v>353</v>
      </c>
      <c r="N357" s="473"/>
      <c r="O357" s="473"/>
      <c r="P357" s="474"/>
      <c r="Q357" s="381"/>
      <c r="R357" s="380"/>
      <c r="S357" s="381"/>
      <c r="T357" s="106"/>
      <c r="W357" s="377">
        <v>0</v>
      </c>
    </row>
    <row r="358" spans="1:23" ht="13.5" customHeight="1">
      <c r="A358" s="477">
        <v>351</v>
      </c>
      <c r="B358" s="478" t="s">
        <v>327</v>
      </c>
      <c r="C358" s="378" t="s">
        <v>365</v>
      </c>
      <c r="D358" s="387">
        <f>VLOOKUP(A358,'Evento Cotiz'!$W$49:$Y$455,3,FALSE)</f>
        <v>0</v>
      </c>
      <c r="E358" s="422">
        <f>VLOOKUP(A358,'Evento Cotiz'!$A$49:$T$459,12,FALSE)</f>
        <v>219198.19519999999</v>
      </c>
      <c r="F358" s="427">
        <f>VLOOKUP(A358,'Evento Cotiz'!$A$49:$T$459,13,FALSE)</f>
        <v>4123.1343999999999</v>
      </c>
      <c r="G358" s="428">
        <f>Tabla1[[#This Row],[Cantidad]]*Tabla1[[#This Row],[P Piso]]</f>
        <v>0</v>
      </c>
      <c r="H358" s="433">
        <f>Tabla1[[#This Row],[P Piso]]-(Tabla1[[#This Row],[P Piso]]*20%)</f>
        <v>3298.5075200000001</v>
      </c>
      <c r="I358" s="434">
        <f>IF((1-(Tabla1[[#This Row],[P Piso-20%]]/Tabla1[[#This Row],[P Oferta]]))=1,0,1-(Tabla1[[#This Row],[P Piso-20%]]/Tabla1[[#This Row],[P Oferta]]))</f>
        <v>0.98495194033422406</v>
      </c>
      <c r="J358" s="439">
        <f>Tabla1[[#This Row],[P Piso]]-(Tabla1[[#This Row],[P Piso]]*25%)</f>
        <v>3092.3508000000002</v>
      </c>
      <c r="K358" s="440">
        <f>IF((1-(Tabla1[[#This Row],[P Piso-25%]]/Tabla1[[#This Row],[P Oferta]]))=1,0,1-(Tabla1[[#This Row],[P Piso-25%]]/Tabla1[[#This Row],[P Oferta]]))</f>
        <v>0.98589244406333509</v>
      </c>
      <c r="L358" s="379"/>
      <c r="M358" s="469">
        <v>354</v>
      </c>
      <c r="N358" s="473"/>
      <c r="O358" s="473"/>
      <c r="P358" s="474"/>
      <c r="Q358" s="381"/>
      <c r="R358" s="380"/>
      <c r="S358" s="381"/>
      <c r="T358" s="106"/>
      <c r="W358" s="377">
        <v>0</v>
      </c>
    </row>
    <row r="359" spans="1:23">
      <c r="A359" s="477">
        <v>352</v>
      </c>
      <c r="B359" s="478" t="s">
        <v>328</v>
      </c>
      <c r="C359" s="378" t="s">
        <v>365</v>
      </c>
      <c r="D359" s="387">
        <f>VLOOKUP(A359,'Evento Cotiz'!$W$49:$Y$455,3,FALSE)</f>
        <v>0</v>
      </c>
      <c r="E359" s="422">
        <f>VLOOKUP(A359,'Evento Cotiz'!$A$49:$T$459,12,FALSE)</f>
        <v>154645.40640000001</v>
      </c>
      <c r="F359" s="427">
        <f>VLOOKUP(A359,'Evento Cotiz'!$A$49:$T$459,13,FALSE)</f>
        <v>14379.062400000001</v>
      </c>
      <c r="G359" s="428">
        <f>Tabla1[[#This Row],[Cantidad]]*Tabla1[[#This Row],[P Piso]]</f>
        <v>0</v>
      </c>
      <c r="H359" s="433">
        <f>Tabla1[[#This Row],[P Piso]]-(Tabla1[[#This Row],[P Piso]]*20%)</f>
        <v>11503.24992</v>
      </c>
      <c r="I359" s="434">
        <f>IF((1-(Tabla1[[#This Row],[P Piso-20%]]/Tabla1[[#This Row],[P Oferta]]))=1,0,1-(Tabla1[[#This Row],[P Piso-20%]]/Tabla1[[#This Row],[P Oferta]]))</f>
        <v>0.92561531449407475</v>
      </c>
      <c r="J359" s="439">
        <f>Tabla1[[#This Row],[P Piso]]-(Tabla1[[#This Row],[P Piso]]*25%)</f>
        <v>10784.2968</v>
      </c>
      <c r="K359" s="440">
        <f>IF((1-(Tabla1[[#This Row],[P Piso-25%]]/Tabla1[[#This Row],[P Oferta]]))=1,0,1-(Tabla1[[#This Row],[P Piso-25%]]/Tabla1[[#This Row],[P Oferta]]))</f>
        <v>0.93026435733819512</v>
      </c>
      <c r="L359" s="379"/>
      <c r="M359" s="469">
        <v>355</v>
      </c>
      <c r="N359" s="473"/>
      <c r="O359" s="473"/>
      <c r="P359" s="474"/>
      <c r="Q359" s="381"/>
      <c r="R359" s="380"/>
      <c r="S359" s="381"/>
      <c r="T359" s="106"/>
      <c r="W359" s="377">
        <v>7</v>
      </c>
    </row>
    <row r="360" spans="1:23" ht="13.5" customHeight="1">
      <c r="A360" s="477">
        <v>353</v>
      </c>
      <c r="B360" s="478" t="s">
        <v>329</v>
      </c>
      <c r="C360" s="378" t="s">
        <v>365</v>
      </c>
      <c r="D360" s="387">
        <f>VLOOKUP(A360,'Evento Cotiz'!$W$49:$Y$455,3,FALSE)</f>
        <v>0</v>
      </c>
      <c r="E360" s="422">
        <f>VLOOKUP(A360,'Evento Cotiz'!$A$49:$T$459,12,FALSE)</f>
        <v>95803.590400000001</v>
      </c>
      <c r="F360" s="427">
        <f>VLOOKUP(A360,'Evento Cotiz'!$A$49:$T$459,13,FALSE)</f>
        <v>1351.7936</v>
      </c>
      <c r="G360" s="428">
        <f>Tabla1[[#This Row],[Cantidad]]*Tabla1[[#This Row],[P Piso]]</f>
        <v>0</v>
      </c>
      <c r="H360" s="433">
        <f>Tabla1[[#This Row],[P Piso]]-(Tabla1[[#This Row],[P Piso]]*20%)</f>
        <v>1081.43488</v>
      </c>
      <c r="I360" s="434">
        <f>IF((1-(Tabla1[[#This Row],[P Piso-20%]]/Tabla1[[#This Row],[P Oferta]]))=1,0,1-(Tabla1[[#This Row],[P Piso-20%]]/Tabla1[[#This Row],[P Oferta]]))</f>
        <v>0.98871195875347906</v>
      </c>
      <c r="J360" s="439">
        <f>Tabla1[[#This Row],[P Piso]]-(Tabla1[[#This Row],[P Piso]]*25%)</f>
        <v>1013.8452</v>
      </c>
      <c r="K360" s="440">
        <f>IF((1-(Tabla1[[#This Row],[P Piso-25%]]/Tabla1[[#This Row],[P Oferta]]))=1,0,1-(Tabla1[[#This Row],[P Piso-25%]]/Tabla1[[#This Row],[P Oferta]]))</f>
        <v>0.98941746133138664</v>
      </c>
      <c r="L360" s="379"/>
      <c r="M360" s="469">
        <v>356</v>
      </c>
      <c r="N360" s="473"/>
      <c r="O360" s="473"/>
      <c r="P360" s="474"/>
      <c r="Q360" s="381"/>
      <c r="R360" s="380"/>
      <c r="S360" s="381"/>
      <c r="T360" s="106"/>
      <c r="W360" s="377">
        <v>0</v>
      </c>
    </row>
    <row r="361" spans="1:23" ht="13.5" customHeight="1">
      <c r="A361" s="477">
        <v>354</v>
      </c>
      <c r="B361" s="478" t="s">
        <v>330</v>
      </c>
      <c r="C361" s="378" t="s">
        <v>365</v>
      </c>
      <c r="D361" s="387">
        <f>VLOOKUP(A361,'Evento Cotiz'!$W$49:$Y$455,3,FALSE)</f>
        <v>0</v>
      </c>
      <c r="E361" s="422">
        <f>VLOOKUP(A361,'Evento Cotiz'!$A$49:$T$459,12,FALSE)</f>
        <v>232438.56</v>
      </c>
      <c r="F361" s="427">
        <f>VLOOKUP(A361,'Evento Cotiz'!$A$49:$T$459,13,FALSE)</f>
        <v>3619.3535999999999</v>
      </c>
      <c r="G361" s="428">
        <f>Tabla1[[#This Row],[Cantidad]]*Tabla1[[#This Row],[P Piso]]</f>
        <v>0</v>
      </c>
      <c r="H361" s="433">
        <f>Tabla1[[#This Row],[P Piso]]-(Tabla1[[#This Row],[P Piso]]*20%)</f>
        <v>2895.48288</v>
      </c>
      <c r="I361" s="434">
        <f>IF((1-(Tabla1[[#This Row],[P Piso-20%]]/Tabla1[[#This Row],[P Oferta]]))=1,0,1-(Tabla1[[#This Row],[P Piso-20%]]/Tabla1[[#This Row],[P Oferta]]))</f>
        <v>0.98754301833568403</v>
      </c>
      <c r="J361" s="439">
        <f>Tabla1[[#This Row],[P Piso]]-(Tabla1[[#This Row],[P Piso]]*25%)</f>
        <v>2714.5151999999998</v>
      </c>
      <c r="K361" s="440">
        <f>IF((1-(Tabla1[[#This Row],[P Piso-25%]]/Tabla1[[#This Row],[P Oferta]]))=1,0,1-(Tabla1[[#This Row],[P Piso-25%]]/Tabla1[[#This Row],[P Oferta]]))</f>
        <v>0.9883215796897038</v>
      </c>
      <c r="L361" s="379"/>
      <c r="M361" s="469">
        <v>357</v>
      </c>
      <c r="N361" s="473"/>
      <c r="O361" s="473"/>
      <c r="P361" s="474"/>
      <c r="Q361" s="381"/>
      <c r="R361" s="380"/>
      <c r="S361" s="381"/>
      <c r="T361" s="106"/>
      <c r="W361" s="377">
        <v>0</v>
      </c>
    </row>
    <row r="362" spans="1:23" ht="13.5" customHeight="1">
      <c r="A362" s="477">
        <v>355</v>
      </c>
      <c r="B362" s="478" t="s">
        <v>331</v>
      </c>
      <c r="C362" s="378" t="s">
        <v>365</v>
      </c>
      <c r="D362" s="387">
        <f>VLOOKUP(A362,'Evento Cotiz'!$W$49:$Y$455,3,FALSE)</f>
        <v>0</v>
      </c>
      <c r="E362" s="422">
        <f>VLOOKUP(A362,'Evento Cotiz'!$A$49:$T$459,12,FALSE)</f>
        <v>72390.350399999996</v>
      </c>
      <c r="F362" s="427">
        <f>VLOOKUP(A362,'Evento Cotiz'!$A$49:$T$459,13,FALSE)</f>
        <v>961.66399999999999</v>
      </c>
      <c r="G362" s="428">
        <f>Tabla1[[#This Row],[Cantidad]]*Tabla1[[#This Row],[P Piso]]</f>
        <v>0</v>
      </c>
      <c r="H362" s="433">
        <f>Tabla1[[#This Row],[P Piso]]-(Tabla1[[#This Row],[P Piso]]*20%)</f>
        <v>769.33119999999997</v>
      </c>
      <c r="I362" s="434">
        <f>IF((1-(Tabla1[[#This Row],[P Piso-20%]]/Tabla1[[#This Row],[P Oferta]]))=1,0,1-(Tabla1[[#This Row],[P Piso-20%]]/Tabla1[[#This Row],[P Oferta]]))</f>
        <v>0.9893724619959845</v>
      </c>
      <c r="J362" s="439">
        <f>Tabla1[[#This Row],[P Piso]]-(Tabla1[[#This Row],[P Piso]]*25%)</f>
        <v>721.24800000000005</v>
      </c>
      <c r="K362" s="440">
        <f>IF((1-(Tabla1[[#This Row],[P Piso-25%]]/Tabla1[[#This Row],[P Oferta]]))=1,0,1-(Tabla1[[#This Row],[P Piso-25%]]/Tabla1[[#This Row],[P Oferta]]))</f>
        <v>0.99003668312123549</v>
      </c>
      <c r="L362" s="379"/>
      <c r="M362" s="469">
        <v>358</v>
      </c>
      <c r="N362" s="473"/>
      <c r="O362" s="473"/>
      <c r="P362" s="474"/>
      <c r="Q362" s="381"/>
      <c r="R362" s="380"/>
      <c r="S362" s="381"/>
      <c r="T362" s="106"/>
      <c r="W362" s="377">
        <v>0</v>
      </c>
    </row>
    <row r="363" spans="1:23">
      <c r="A363" s="477">
        <v>356</v>
      </c>
      <c r="B363" s="478" t="s">
        <v>332</v>
      </c>
      <c r="C363" s="378" t="s">
        <v>365</v>
      </c>
      <c r="D363" s="387">
        <f>VLOOKUP(A363,'Evento Cotiz'!$W$49:$Y$455,3,FALSE)</f>
        <v>0</v>
      </c>
      <c r="E363" s="422">
        <f>VLOOKUP(A363,'Evento Cotiz'!$A$49:$T$459,12,FALSE)</f>
        <v>159528.0368</v>
      </c>
      <c r="F363" s="427">
        <f>VLOOKUP(A363,'Evento Cotiz'!$A$49:$T$459,13,FALSE)</f>
        <v>3642.3024</v>
      </c>
      <c r="G363" s="428">
        <f>Tabla1[[#This Row],[Cantidad]]*Tabla1[[#This Row],[P Piso]]</f>
        <v>0</v>
      </c>
      <c r="H363" s="433">
        <f>Tabla1[[#This Row],[P Piso]]-(Tabla1[[#This Row],[P Piso]]*20%)</f>
        <v>2913.8419199999998</v>
      </c>
      <c r="I363" s="434">
        <f>IF((1-(Tabla1[[#This Row],[P Piso-20%]]/Tabla1[[#This Row],[P Oferta]]))=1,0,1-(Tabla1[[#This Row],[P Piso-20%]]/Tabla1[[#This Row],[P Oferta]]))</f>
        <v>0.98173460929847034</v>
      </c>
      <c r="J363" s="439">
        <f>Tabla1[[#This Row],[P Piso]]-(Tabla1[[#This Row],[P Piso]]*25%)</f>
        <v>2731.7267999999999</v>
      </c>
      <c r="K363" s="440">
        <f>IF((1-(Tabla1[[#This Row],[P Piso-25%]]/Tabla1[[#This Row],[P Oferta]]))=1,0,1-(Tabla1[[#This Row],[P Piso-25%]]/Tabla1[[#This Row],[P Oferta]]))</f>
        <v>0.98287619621731592</v>
      </c>
      <c r="L363" s="379"/>
      <c r="M363" s="469">
        <v>359</v>
      </c>
      <c r="N363" s="473"/>
      <c r="O363" s="473"/>
      <c r="P363" s="474"/>
      <c r="Q363" s="381"/>
      <c r="R363" s="380"/>
      <c r="S363" s="381"/>
      <c r="T363" s="106"/>
      <c r="W363" s="377">
        <v>5</v>
      </c>
    </row>
    <row r="364" spans="1:23">
      <c r="A364" s="477">
        <v>357</v>
      </c>
      <c r="B364" s="478" t="s">
        <v>333</v>
      </c>
      <c r="C364" s="378" t="s">
        <v>365</v>
      </c>
      <c r="D364" s="387">
        <f>VLOOKUP(A364,'Evento Cotiz'!$W$49:$Y$455,3,FALSE)</f>
        <v>0</v>
      </c>
      <c r="E364" s="422">
        <f>VLOOKUP(A364,'Evento Cotiz'!$A$49:$T$459,12,FALSE)</f>
        <v>162087.3744</v>
      </c>
      <c r="F364" s="427">
        <f>VLOOKUP(A364,'Evento Cotiz'!$A$49:$T$459,13,FALSE)</f>
        <v>2474.0992000000001</v>
      </c>
      <c r="G364" s="428">
        <f>Tabla1[[#This Row],[Cantidad]]*Tabla1[[#This Row],[P Piso]]</f>
        <v>0</v>
      </c>
      <c r="H364" s="433">
        <f>Tabla1[[#This Row],[P Piso]]-(Tabla1[[#This Row],[P Piso]]*20%)</f>
        <v>1979.27936</v>
      </c>
      <c r="I364" s="434">
        <f>IF((1-(Tabla1[[#This Row],[P Piso-20%]]/Tabla1[[#This Row],[P Oferta]]))=1,0,1-(Tabla1[[#This Row],[P Piso-20%]]/Tabla1[[#This Row],[P Oferta]]))</f>
        <v>0.98778881225433679</v>
      </c>
      <c r="J364" s="439">
        <f>Tabla1[[#This Row],[P Piso]]-(Tabla1[[#This Row],[P Piso]]*25%)</f>
        <v>1855.5744</v>
      </c>
      <c r="K364" s="440">
        <f>IF((1-(Tabla1[[#This Row],[P Piso-25%]]/Tabla1[[#This Row],[P Oferta]]))=1,0,1-(Tabla1[[#This Row],[P Piso-25%]]/Tabla1[[#This Row],[P Oferta]]))</f>
        <v>0.98855201148844074</v>
      </c>
      <c r="L364" s="379"/>
      <c r="M364" s="469">
        <v>360</v>
      </c>
      <c r="N364" s="473"/>
      <c r="O364" s="473"/>
      <c r="P364" s="474"/>
      <c r="Q364" s="381"/>
      <c r="R364" s="380"/>
      <c r="S364" s="381"/>
      <c r="T364" s="106"/>
      <c r="W364" s="377">
        <v>13</v>
      </c>
    </row>
    <row r="365" spans="1:23" ht="13.5" customHeight="1">
      <c r="A365" s="477">
        <v>358</v>
      </c>
      <c r="B365" s="478" t="s">
        <v>334</v>
      </c>
      <c r="C365" s="378" t="s">
        <v>365</v>
      </c>
      <c r="D365" s="387">
        <f>VLOOKUP(A365,'Evento Cotiz'!$W$49:$Y$455,3,FALSE)</f>
        <v>0</v>
      </c>
      <c r="E365" s="422">
        <f>VLOOKUP(A365,'Evento Cotiz'!$A$49:$T$459,12,FALSE)</f>
        <v>180555.69440000001</v>
      </c>
      <c r="F365" s="427">
        <f>VLOOKUP(A365,'Evento Cotiz'!$A$49:$T$459,13,FALSE)</f>
        <v>17128.547200000001</v>
      </c>
      <c r="G365" s="428">
        <f>Tabla1[[#This Row],[Cantidad]]*Tabla1[[#This Row],[P Piso]]</f>
        <v>0</v>
      </c>
      <c r="H365" s="433">
        <f>Tabla1[[#This Row],[P Piso]]-(Tabla1[[#This Row],[P Piso]]*20%)</f>
        <v>13702.83776</v>
      </c>
      <c r="I365" s="434">
        <f>IF((1-(Tabla1[[#This Row],[P Piso-20%]]/Tabla1[[#This Row],[P Oferta]]))=1,0,1-(Tabla1[[#This Row],[P Piso-20%]]/Tabla1[[#This Row],[P Oferta]]))</f>
        <v>0.92410741845868916</v>
      </c>
      <c r="J365" s="439">
        <f>Tabla1[[#This Row],[P Piso]]-(Tabla1[[#This Row],[P Piso]]*25%)</f>
        <v>12846.410400000001</v>
      </c>
      <c r="K365" s="440">
        <f>IF((1-(Tabla1[[#This Row],[P Piso-25%]]/Tabla1[[#This Row],[P Oferta]]))=1,0,1-(Tabla1[[#This Row],[P Piso-25%]]/Tabla1[[#This Row],[P Oferta]]))</f>
        <v>0.92885070480502108</v>
      </c>
      <c r="L365" s="379"/>
      <c r="M365" s="469">
        <v>361</v>
      </c>
      <c r="N365" s="473"/>
      <c r="O365" s="473"/>
      <c r="P365" s="474"/>
      <c r="Q365" s="381"/>
      <c r="R365" s="380"/>
      <c r="S365" s="381"/>
      <c r="T365" s="106"/>
      <c r="W365" s="377">
        <v>0</v>
      </c>
    </row>
    <row r="366" spans="1:23" ht="13.5" customHeight="1">
      <c r="A366" s="477">
        <v>359</v>
      </c>
      <c r="B366" s="478" t="s">
        <v>335</v>
      </c>
      <c r="C366" s="378" t="s">
        <v>365</v>
      </c>
      <c r="D366" s="387">
        <f>VLOOKUP(A366,'Evento Cotiz'!$W$49:$Y$455,3,FALSE)</f>
        <v>0</v>
      </c>
      <c r="E366" s="422">
        <f>VLOOKUP(A366,'Evento Cotiz'!$A$49:$T$459,12,FALSE)</f>
        <v>46975.1008</v>
      </c>
      <c r="F366" s="427">
        <f>VLOOKUP(A366,'Evento Cotiz'!$A$49:$T$459,13,FALSE)</f>
        <v>1278.576</v>
      </c>
      <c r="G366" s="428">
        <f>Tabla1[[#This Row],[Cantidad]]*Tabla1[[#This Row],[P Piso]]</f>
        <v>0</v>
      </c>
      <c r="H366" s="433">
        <f>Tabla1[[#This Row],[P Piso]]-(Tabla1[[#This Row],[P Piso]]*20%)</f>
        <v>1022.8608</v>
      </c>
      <c r="I366" s="434">
        <f>IF((1-(Tabla1[[#This Row],[P Piso-20%]]/Tabla1[[#This Row],[P Oferta]]))=1,0,1-(Tabla1[[#This Row],[P Piso-20%]]/Tabla1[[#This Row],[P Oferta]]))</f>
        <v>0.97822546875726979</v>
      </c>
      <c r="J366" s="439">
        <f>Tabla1[[#This Row],[P Piso]]-(Tabla1[[#This Row],[P Piso]]*25%)</f>
        <v>958.93200000000002</v>
      </c>
      <c r="K366" s="440">
        <f>IF((1-(Tabla1[[#This Row],[P Piso-25%]]/Tabla1[[#This Row],[P Oferta]]))=1,0,1-(Tabla1[[#This Row],[P Piso-25%]]/Tabla1[[#This Row],[P Oferta]]))</f>
        <v>0.97958637695994044</v>
      </c>
      <c r="L366" s="379"/>
      <c r="M366" s="469">
        <v>362</v>
      </c>
      <c r="N366" s="473"/>
      <c r="O366" s="473"/>
      <c r="P366" s="474"/>
      <c r="Q366" s="381"/>
      <c r="R366" s="380"/>
      <c r="S366" s="381"/>
      <c r="T366" s="106"/>
      <c r="W366" s="377">
        <v>0</v>
      </c>
    </row>
    <row r="367" spans="1:23">
      <c r="A367" s="477">
        <v>360</v>
      </c>
      <c r="B367" s="478" t="s">
        <v>336</v>
      </c>
      <c r="C367" s="378" t="s">
        <v>365</v>
      </c>
      <c r="D367" s="387">
        <f>VLOOKUP(A367,'Evento Cotiz'!$W$49:$Y$455,3,FALSE)</f>
        <v>0</v>
      </c>
      <c r="E367" s="422">
        <f>VLOOKUP(A367,'Evento Cotiz'!$A$49:$T$459,12,FALSE)</f>
        <v>144829.8768</v>
      </c>
      <c r="F367" s="427">
        <f>VLOOKUP(A367,'Evento Cotiz'!$A$49:$T$459,13,FALSE)</f>
        <v>5264.0176000000001</v>
      </c>
      <c r="G367" s="428">
        <f>Tabla1[[#This Row],[Cantidad]]*Tabla1[[#This Row],[P Piso]]</f>
        <v>0</v>
      </c>
      <c r="H367" s="433">
        <f>Tabla1[[#This Row],[P Piso]]-(Tabla1[[#This Row],[P Piso]]*20%)</f>
        <v>4211.2140799999997</v>
      </c>
      <c r="I367" s="434">
        <f>IF((1-(Tabla1[[#This Row],[P Piso-20%]]/Tabla1[[#This Row],[P Oferta]]))=1,0,1-(Tabla1[[#This Row],[P Piso-20%]]/Tabla1[[#This Row],[P Oferta]]))</f>
        <v>0.97092302932898722</v>
      </c>
      <c r="J367" s="439">
        <f>Tabla1[[#This Row],[P Piso]]-(Tabla1[[#This Row],[P Piso]]*25%)</f>
        <v>3948.0132000000003</v>
      </c>
      <c r="K367" s="440">
        <f>IF((1-(Tabla1[[#This Row],[P Piso-25%]]/Tabla1[[#This Row],[P Oferta]]))=1,0,1-(Tabla1[[#This Row],[P Piso-25%]]/Tabla1[[#This Row],[P Oferta]]))</f>
        <v>0.97274033999592546</v>
      </c>
      <c r="L367" s="379"/>
      <c r="M367" s="469">
        <v>363</v>
      </c>
      <c r="N367" s="473"/>
      <c r="O367" s="473"/>
      <c r="P367" s="474"/>
      <c r="Q367" s="381"/>
      <c r="R367" s="380"/>
      <c r="S367" s="381"/>
      <c r="T367" s="106"/>
      <c r="W367" s="377">
        <v>1</v>
      </c>
    </row>
    <row r="368" spans="1:23" ht="13.5" customHeight="1">
      <c r="A368" s="477">
        <v>361</v>
      </c>
      <c r="B368" s="478" t="s">
        <v>337</v>
      </c>
      <c r="C368" s="378" t="s">
        <v>365</v>
      </c>
      <c r="D368" s="387">
        <f>VLOOKUP(A368,'Evento Cotiz'!$W$49:$Y$455,3,FALSE)</f>
        <v>0</v>
      </c>
      <c r="E368" s="422">
        <f>VLOOKUP(A368,'Evento Cotiz'!$A$49:$T$459,12,FALSE)</f>
        <v>3374140.2080000001</v>
      </c>
      <c r="F368" s="427">
        <f>VLOOKUP(A368,'Evento Cotiz'!$A$49:$T$459,13,FALSE)</f>
        <v>50346.388800000001</v>
      </c>
      <c r="G368" s="428">
        <f>Tabla1[[#This Row],[Cantidad]]*Tabla1[[#This Row],[P Piso]]</f>
        <v>0</v>
      </c>
      <c r="H368" s="433">
        <f>Tabla1[[#This Row],[P Piso]]-(Tabla1[[#This Row],[P Piso]]*20%)</f>
        <v>40277.111040000003</v>
      </c>
      <c r="I368" s="434">
        <f>IF((1-(Tabla1[[#This Row],[P Piso-20%]]/Tabla1[[#This Row],[P Oferta]]))=1,0,1-(Tabla1[[#This Row],[P Piso-20%]]/Tabla1[[#This Row],[P Oferta]]))</f>
        <v>0.9880630001846088</v>
      </c>
      <c r="J368" s="439">
        <f>Tabla1[[#This Row],[P Piso]]-(Tabla1[[#This Row],[P Piso]]*25%)</f>
        <v>37759.791599999997</v>
      </c>
      <c r="K368" s="440">
        <f>IF((1-(Tabla1[[#This Row],[P Piso-25%]]/Tabla1[[#This Row],[P Oferta]]))=1,0,1-(Tabla1[[#This Row],[P Piso-25%]]/Tabla1[[#This Row],[P Oferta]]))</f>
        <v>0.98880906267307078</v>
      </c>
      <c r="L368" s="379"/>
      <c r="M368" s="469">
        <v>364</v>
      </c>
      <c r="N368" s="473"/>
      <c r="O368" s="473"/>
      <c r="P368" s="474"/>
      <c r="Q368" s="381"/>
      <c r="R368" s="380"/>
      <c r="S368" s="381"/>
      <c r="T368" s="106"/>
      <c r="W368" s="377">
        <v>0</v>
      </c>
    </row>
    <row r="369" spans="1:23" ht="13.5" customHeight="1">
      <c r="A369" s="477">
        <v>362</v>
      </c>
      <c r="B369" s="478" t="s">
        <v>338</v>
      </c>
      <c r="C369" s="378" t="s">
        <v>365</v>
      </c>
      <c r="D369" s="387">
        <f>VLOOKUP(A369,'Evento Cotiz'!$W$49:$Y$455,3,FALSE)</f>
        <v>0</v>
      </c>
      <c r="E369" s="422">
        <f>VLOOKUP(A369,'Evento Cotiz'!$A$49:$T$459,12,FALSE)</f>
        <v>2019503.1424</v>
      </c>
      <c r="F369" s="427">
        <f>VLOOKUP(A369,'Evento Cotiz'!$A$49:$T$459,13,FALSE)</f>
        <v>36649.2336</v>
      </c>
      <c r="G369" s="428">
        <f>Tabla1[[#This Row],[Cantidad]]*Tabla1[[#This Row],[P Piso]]</f>
        <v>0</v>
      </c>
      <c r="H369" s="433">
        <f>Tabla1[[#This Row],[P Piso]]-(Tabla1[[#This Row],[P Piso]]*20%)</f>
        <v>29319.386879999998</v>
      </c>
      <c r="I369" s="434">
        <f>IF((1-(Tabla1[[#This Row],[P Piso-20%]]/Tabla1[[#This Row],[P Oferta]]))=1,0,1-(Tabla1[[#This Row],[P Piso-20%]]/Tabla1[[#This Row],[P Oferta]]))</f>
        <v>0.98548188103081802</v>
      </c>
      <c r="J369" s="439">
        <f>Tabla1[[#This Row],[P Piso]]-(Tabla1[[#This Row],[P Piso]]*25%)</f>
        <v>27486.925199999998</v>
      </c>
      <c r="K369" s="440">
        <f>IF((1-(Tabla1[[#This Row],[P Piso-25%]]/Tabla1[[#This Row],[P Oferta]]))=1,0,1-(Tabla1[[#This Row],[P Piso-25%]]/Tabla1[[#This Row],[P Oferta]]))</f>
        <v>0.98638926346639189</v>
      </c>
      <c r="L369" s="379"/>
      <c r="M369" s="469">
        <v>365</v>
      </c>
      <c r="N369" s="473"/>
      <c r="O369" s="473"/>
      <c r="P369" s="474"/>
      <c r="Q369" s="381"/>
      <c r="R369" s="380"/>
      <c r="S369" s="381"/>
      <c r="T369" s="106"/>
      <c r="W369" s="377">
        <v>0</v>
      </c>
    </row>
    <row r="370" spans="1:23" ht="13.5" customHeight="1">
      <c r="A370" s="477">
        <v>363</v>
      </c>
      <c r="B370" s="478" t="s">
        <v>339</v>
      </c>
      <c r="C370" s="378" t="s">
        <v>366</v>
      </c>
      <c r="D370" s="387">
        <f>VLOOKUP(A370,'Evento Cotiz'!$W$49:$Y$455,3,FALSE)</f>
        <v>0</v>
      </c>
      <c r="E370" s="422">
        <f>VLOOKUP(A370,'Evento Cotiz'!$A$49:$T$459,12,FALSE)</f>
        <v>68867.163199999995</v>
      </c>
      <c r="F370" s="427">
        <f>VLOOKUP(A370,'Evento Cotiz'!$A$49:$T$459,13,FALSE)</f>
        <v>15575.678400000001</v>
      </c>
      <c r="G370" s="428">
        <f>Tabla1[[#This Row],[Cantidad]]*Tabla1[[#This Row],[P Piso]]</f>
        <v>0</v>
      </c>
      <c r="H370" s="433">
        <f>Tabla1[[#This Row],[P Piso]]-(Tabla1[[#This Row],[P Piso]]*20%)</f>
        <v>12460.542720000001</v>
      </c>
      <c r="I370" s="434">
        <f>IF((1-(Tabla1[[#This Row],[P Piso-20%]]/Tabla1[[#This Row],[P Oferta]]))=1,0,1-(Tabla1[[#This Row],[P Piso-20%]]/Tabla1[[#This Row],[P Oferta]]))</f>
        <v>0.81906409178184347</v>
      </c>
      <c r="J370" s="439">
        <f>Tabla1[[#This Row],[P Piso]]-(Tabla1[[#This Row],[P Piso]]*25%)</f>
        <v>11681.7588</v>
      </c>
      <c r="K370" s="440">
        <f>IF((1-(Tabla1[[#This Row],[P Piso-25%]]/Tabla1[[#This Row],[P Oferta]]))=1,0,1-(Tabla1[[#This Row],[P Piso-25%]]/Tabla1[[#This Row],[P Oferta]]))</f>
        <v>0.83037258604547837</v>
      </c>
      <c r="L370" s="379"/>
      <c r="M370" s="469">
        <v>366</v>
      </c>
      <c r="N370" s="473"/>
      <c r="O370" s="473"/>
      <c r="P370" s="474"/>
      <c r="Q370" s="381"/>
      <c r="R370" s="380"/>
      <c r="S370" s="381"/>
      <c r="T370" s="106"/>
      <c r="W370" s="377">
        <v>0</v>
      </c>
    </row>
    <row r="371" spans="1:23">
      <c r="A371" s="477">
        <v>364</v>
      </c>
      <c r="B371" s="478" t="s">
        <v>339</v>
      </c>
      <c r="C371" s="378" t="s">
        <v>365</v>
      </c>
      <c r="D371" s="387">
        <f>VLOOKUP(A371,'Evento Cotiz'!$W$49:$Y$455,3,FALSE)</f>
        <v>0</v>
      </c>
      <c r="E371" s="422">
        <f>VLOOKUP(A371,'Evento Cotiz'!$A$49:$T$459,12,FALSE)</f>
        <v>1344636.8528</v>
      </c>
      <c r="F371" s="427">
        <f>VLOOKUP(A371,'Evento Cotiz'!$A$49:$T$459,13,FALSE)</f>
        <v>15575.678400000001</v>
      </c>
      <c r="G371" s="428">
        <f>Tabla1[[#This Row],[Cantidad]]*Tabla1[[#This Row],[P Piso]]</f>
        <v>0</v>
      </c>
      <c r="H371" s="433">
        <f>Tabla1[[#This Row],[P Piso]]-(Tabla1[[#This Row],[P Piso]]*20%)</f>
        <v>12460.542720000001</v>
      </c>
      <c r="I371" s="434">
        <f>IF((1-(Tabla1[[#This Row],[P Piso-20%]]/Tabla1[[#This Row],[P Oferta]]))=1,0,1-(Tabla1[[#This Row],[P Piso-20%]]/Tabla1[[#This Row],[P Oferta]]))</f>
        <v>0.99073315394111594</v>
      </c>
      <c r="J371" s="439">
        <f>Tabla1[[#This Row],[P Piso]]-(Tabla1[[#This Row],[P Piso]]*25%)</f>
        <v>11681.7588</v>
      </c>
      <c r="K371" s="440">
        <f>IF((1-(Tabla1[[#This Row],[P Piso-25%]]/Tabla1[[#This Row],[P Oferta]]))=1,0,1-(Tabla1[[#This Row],[P Piso-25%]]/Tabla1[[#This Row],[P Oferta]]))</f>
        <v>0.99131233181979617</v>
      </c>
      <c r="L371" s="379"/>
      <c r="M371" s="469">
        <v>367</v>
      </c>
      <c r="N371" s="473"/>
      <c r="O371" s="473"/>
      <c r="P371" s="474"/>
      <c r="Q371" s="381"/>
      <c r="R371" s="380"/>
      <c r="S371" s="381"/>
      <c r="T371" s="106"/>
      <c r="W371" s="377">
        <v>1</v>
      </c>
    </row>
    <row r="372" spans="1:23" ht="13.5" customHeight="1">
      <c r="A372" s="477">
        <v>365</v>
      </c>
      <c r="B372" s="478" t="s">
        <v>340</v>
      </c>
      <c r="C372" s="378" t="s">
        <v>366</v>
      </c>
      <c r="D372" s="387">
        <f>VLOOKUP(A372,'Evento Cotiz'!$W$49:$Y$455,3,FALSE)</f>
        <v>0</v>
      </c>
      <c r="E372" s="422">
        <f>VLOOKUP(A372,'Evento Cotiz'!$A$49:$T$459,12,FALSE)</f>
        <v>71846.135999999999</v>
      </c>
      <c r="F372" s="427">
        <f>VLOOKUP(A372,'Evento Cotiz'!$A$49:$T$459,13,FALSE)</f>
        <v>19036.576000000001</v>
      </c>
      <c r="G372" s="428">
        <f>Tabla1[[#This Row],[Cantidad]]*Tabla1[[#This Row],[P Piso]]</f>
        <v>0</v>
      </c>
      <c r="H372" s="433">
        <f>Tabla1[[#This Row],[P Piso]]-(Tabla1[[#This Row],[P Piso]]*20%)</f>
        <v>15229.2608</v>
      </c>
      <c r="I372" s="434">
        <f>IF((1-(Tabla1[[#This Row],[P Piso-20%]]/Tabla1[[#This Row],[P Oferta]]))=1,0,1-(Tabla1[[#This Row],[P Piso-20%]]/Tabla1[[#This Row],[P Oferta]]))</f>
        <v>0.78802950794737248</v>
      </c>
      <c r="J372" s="439">
        <f>Tabla1[[#This Row],[P Piso]]-(Tabla1[[#This Row],[P Piso]]*25%)</f>
        <v>14277.432000000001</v>
      </c>
      <c r="K372" s="440">
        <f>IF((1-(Tabla1[[#This Row],[P Piso-25%]]/Tabla1[[#This Row],[P Oferta]]))=1,0,1-(Tabla1[[#This Row],[P Piso-25%]]/Tabla1[[#This Row],[P Oferta]]))</f>
        <v>0.80127766370066167</v>
      </c>
      <c r="L372" s="379"/>
      <c r="M372" s="469">
        <v>368</v>
      </c>
      <c r="N372" s="473"/>
      <c r="O372" s="473"/>
      <c r="P372" s="474"/>
      <c r="Q372" s="381"/>
      <c r="R372" s="380"/>
      <c r="S372" s="381"/>
      <c r="T372" s="106"/>
      <c r="W372" s="377">
        <v>0</v>
      </c>
    </row>
    <row r="373" spans="1:23" ht="13.5" customHeight="1">
      <c r="A373" s="477">
        <v>366</v>
      </c>
      <c r="B373" s="478" t="s">
        <v>340</v>
      </c>
      <c r="C373" s="378" t="s">
        <v>365</v>
      </c>
      <c r="D373" s="387">
        <f>VLOOKUP(A373,'Evento Cotiz'!$W$49:$Y$455,3,FALSE)</f>
        <v>0</v>
      </c>
      <c r="E373" s="422">
        <f>VLOOKUP(A373,'Evento Cotiz'!$A$49:$T$459,12,FALSE)</f>
        <v>1481283.8432</v>
      </c>
      <c r="F373" s="427">
        <f>VLOOKUP(A373,'Evento Cotiz'!$A$49:$T$459,13,FALSE)</f>
        <v>19036.576000000001</v>
      </c>
      <c r="G373" s="428">
        <f>Tabla1[[#This Row],[Cantidad]]*Tabla1[[#This Row],[P Piso]]</f>
        <v>0</v>
      </c>
      <c r="H373" s="433">
        <f>Tabla1[[#This Row],[P Piso]]-(Tabla1[[#This Row],[P Piso]]*20%)</f>
        <v>15229.2608</v>
      </c>
      <c r="I373" s="434">
        <f>IF((1-(Tabla1[[#This Row],[P Piso-20%]]/Tabla1[[#This Row],[P Oferta]]))=1,0,1-(Tabla1[[#This Row],[P Piso-20%]]/Tabla1[[#This Row],[P Oferta]]))</f>
        <v>0.98971887739820319</v>
      </c>
      <c r="J373" s="439">
        <f>Tabla1[[#This Row],[P Piso]]-(Tabla1[[#This Row],[P Piso]]*25%)</f>
        <v>14277.432000000001</v>
      </c>
      <c r="K373" s="440">
        <f>IF((1-(Tabla1[[#This Row],[P Piso-25%]]/Tabla1[[#This Row],[P Oferta]]))=1,0,1-(Tabla1[[#This Row],[P Piso-25%]]/Tabla1[[#This Row],[P Oferta]]))</f>
        <v>0.99036144756081546</v>
      </c>
      <c r="L373" s="379"/>
      <c r="M373" s="469">
        <v>369</v>
      </c>
      <c r="N373" s="473"/>
      <c r="O373" s="473"/>
      <c r="P373" s="474"/>
      <c r="Q373" s="381"/>
      <c r="R373" s="380"/>
      <c r="S373" s="381"/>
      <c r="T373" s="106"/>
      <c r="W373" s="377">
        <v>0</v>
      </c>
    </row>
    <row r="374" spans="1:23" ht="13.5" customHeight="1">
      <c r="A374" s="477">
        <v>368</v>
      </c>
      <c r="B374" s="478" t="s">
        <v>341</v>
      </c>
      <c r="C374" s="378" t="s">
        <v>365</v>
      </c>
      <c r="D374" s="387">
        <f>VLOOKUP(A374,'Evento Cotiz'!$W$49:$Y$455,3,FALSE)</f>
        <v>0</v>
      </c>
      <c r="E374" s="422">
        <f>VLOOKUP(A374,'Evento Cotiz'!$A$49:$T$459,12,FALSE)</f>
        <v>1578941.9151999999</v>
      </c>
      <c r="F374" s="427">
        <f>VLOOKUP(A374,'Evento Cotiz'!$A$49:$T$459,13,FALSE)</f>
        <v>22931.315200000001</v>
      </c>
      <c r="G374" s="428">
        <f>Tabla1[[#This Row],[Cantidad]]*Tabla1[[#This Row],[P Piso]]</f>
        <v>0</v>
      </c>
      <c r="H374" s="433">
        <f>Tabla1[[#This Row],[P Piso]]-(Tabla1[[#This Row],[P Piso]]*20%)</f>
        <v>18345.052159999999</v>
      </c>
      <c r="I374" s="434">
        <f>IF((1-(Tabla1[[#This Row],[P Piso-20%]]/Tabla1[[#This Row],[P Oferta]]))=1,0,1-(Tabla1[[#This Row],[P Piso-20%]]/Tabla1[[#This Row],[P Oferta]]))</f>
        <v>0.98838142683818975</v>
      </c>
      <c r="J374" s="439">
        <f>Tabla1[[#This Row],[P Piso]]-(Tabla1[[#This Row],[P Piso]]*25%)</f>
        <v>17198.486400000002</v>
      </c>
      <c r="K374" s="440">
        <f>IF((1-(Tabla1[[#This Row],[P Piso-25%]]/Tabla1[[#This Row],[P Oferta]]))=1,0,1-(Tabla1[[#This Row],[P Piso-25%]]/Tabla1[[#This Row],[P Oferta]]))</f>
        <v>0.98910758766080287</v>
      </c>
      <c r="L374" s="379"/>
      <c r="M374" s="469">
        <v>370</v>
      </c>
      <c r="N374" s="473"/>
      <c r="O374" s="473"/>
      <c r="P374" s="474"/>
      <c r="Q374" s="381"/>
      <c r="R374" s="380"/>
      <c r="S374" s="381"/>
      <c r="T374" s="106"/>
      <c r="W374" s="377">
        <v>0</v>
      </c>
    </row>
    <row r="375" spans="1:23" ht="13.5" customHeight="1">
      <c r="A375" s="477">
        <v>369</v>
      </c>
      <c r="B375" s="478" t="s">
        <v>342</v>
      </c>
      <c r="C375" s="378" t="s">
        <v>365</v>
      </c>
      <c r="D375" s="387">
        <f>VLOOKUP(A375,'Evento Cotiz'!$W$49:$Y$455,3,FALSE)</f>
        <v>0</v>
      </c>
      <c r="E375" s="422">
        <f>VLOOKUP(A375,'Evento Cotiz'!$A$49:$T$459,12,FALSE)</f>
        <v>3973377.088</v>
      </c>
      <c r="F375" s="427">
        <f>VLOOKUP(A375,'Evento Cotiz'!$A$49:$T$459,13,FALSE)</f>
        <v>137289.55679999999</v>
      </c>
      <c r="G375" s="428">
        <f>Tabla1[[#This Row],[Cantidad]]*Tabla1[[#This Row],[P Piso]]</f>
        <v>0</v>
      </c>
      <c r="H375" s="433">
        <f>Tabla1[[#This Row],[P Piso]]-(Tabla1[[#This Row],[P Piso]]*20%)</f>
        <v>109831.64543999999</v>
      </c>
      <c r="I375" s="434">
        <f>IF((1-(Tabla1[[#This Row],[P Piso-20%]]/Tabla1[[#This Row],[P Oferta]]))=1,0,1-(Tabla1[[#This Row],[P Piso-20%]]/Tabla1[[#This Row],[P Oferta]]))</f>
        <v>0.97235811175040432</v>
      </c>
      <c r="J375" s="439">
        <f>Tabla1[[#This Row],[P Piso]]-(Tabla1[[#This Row],[P Piso]]*25%)</f>
        <v>102967.16759999999</v>
      </c>
      <c r="K375" s="440">
        <f>IF((1-(Tabla1[[#This Row],[P Piso-25%]]/Tabla1[[#This Row],[P Oferta]]))=1,0,1-(Tabla1[[#This Row],[P Piso-25%]]/Tabla1[[#This Row],[P Oferta]]))</f>
        <v>0.97408572976600405</v>
      </c>
      <c r="L375" s="379"/>
      <c r="M375" s="469">
        <v>371</v>
      </c>
      <c r="N375" s="473"/>
      <c r="O375" s="473"/>
      <c r="P375" s="474"/>
      <c r="Q375" s="381"/>
      <c r="R375" s="380"/>
      <c r="S375" s="381"/>
      <c r="T375" s="106"/>
      <c r="W375" s="377">
        <v>0</v>
      </c>
    </row>
    <row r="376" spans="1:23">
      <c r="A376" s="477">
        <v>370</v>
      </c>
      <c r="B376" s="478" t="s">
        <v>343</v>
      </c>
      <c r="C376" s="378" t="s">
        <v>366</v>
      </c>
      <c r="D376" s="387">
        <f>VLOOKUP(A376,'Evento Cotiz'!$W$49:$Y$455,3,FALSE)</f>
        <v>0</v>
      </c>
      <c r="E376" s="422">
        <f>VLOOKUP(A376,'Evento Cotiz'!$A$49:$T$459,12,FALSE)</f>
        <v>91205.088000000003</v>
      </c>
      <c r="F376" s="427">
        <f>VLOOKUP(A376,'Evento Cotiz'!$A$49:$T$459,13,FALSE)</f>
        <v>19778.587200000002</v>
      </c>
      <c r="G376" s="428">
        <f>Tabla1[[#This Row],[Cantidad]]*Tabla1[[#This Row],[P Piso]]</f>
        <v>0</v>
      </c>
      <c r="H376" s="433">
        <f>Tabla1[[#This Row],[P Piso]]-(Tabla1[[#This Row],[P Piso]]*20%)</f>
        <v>15822.869760000001</v>
      </c>
      <c r="I376" s="434">
        <f>IF((1-(Tabla1[[#This Row],[P Piso-20%]]/Tabla1[[#This Row],[P Oferta]]))=1,0,1-(Tabla1[[#This Row],[P Piso-20%]]/Tabla1[[#This Row],[P Oferta]]))</f>
        <v>0.82651329978432786</v>
      </c>
      <c r="J376" s="439">
        <f>Tabla1[[#This Row],[P Piso]]-(Tabla1[[#This Row],[P Piso]]*25%)</f>
        <v>14833.940400000001</v>
      </c>
      <c r="K376" s="440">
        <f>IF((1-(Tabla1[[#This Row],[P Piso-25%]]/Tabla1[[#This Row],[P Oferta]]))=1,0,1-(Tabla1[[#This Row],[P Piso-25%]]/Tabla1[[#This Row],[P Oferta]]))</f>
        <v>0.83735621854780729</v>
      </c>
      <c r="L376" s="379"/>
      <c r="M376" s="469">
        <v>372</v>
      </c>
      <c r="N376" s="473"/>
      <c r="O376" s="473"/>
      <c r="P376" s="474"/>
      <c r="Q376" s="381"/>
      <c r="R376" s="380"/>
      <c r="S376" s="381"/>
      <c r="T376" s="106"/>
      <c r="W376" s="377">
        <v>4</v>
      </c>
    </row>
    <row r="377" spans="1:23" ht="13.5" customHeight="1">
      <c r="A377" s="477">
        <v>372</v>
      </c>
      <c r="B377" s="478" t="s">
        <v>344</v>
      </c>
      <c r="C377" s="378" t="s">
        <v>366</v>
      </c>
      <c r="D377" s="387">
        <f>VLOOKUP(A377,'Evento Cotiz'!$W$49:$Y$455,3,FALSE)</f>
        <v>0</v>
      </c>
      <c r="E377" s="422">
        <f>VLOOKUP(A377,'Evento Cotiz'!$A$49:$T$459,12,FALSE)</f>
        <v>119241.9648</v>
      </c>
      <c r="F377" s="427">
        <f>VLOOKUP(A377,'Evento Cotiz'!$A$49:$T$459,13,FALSE)</f>
        <v>34504.067199999998</v>
      </c>
      <c r="G377" s="428">
        <f>Tabla1[[#This Row],[Cantidad]]*Tabla1[[#This Row],[P Piso]]</f>
        <v>0</v>
      </c>
      <c r="H377" s="433">
        <f>Tabla1[[#This Row],[P Piso]]-(Tabla1[[#This Row],[P Piso]]*20%)</f>
        <v>27603.25376</v>
      </c>
      <c r="I377" s="434">
        <f>IF((1-(Tabla1[[#This Row],[P Piso-20%]]/Tabla1[[#This Row],[P Oferta]]))=1,0,1-(Tabla1[[#This Row],[P Piso-20%]]/Tabla1[[#This Row],[P Oferta]]))</f>
        <v>0.76851057590087613</v>
      </c>
      <c r="J377" s="439">
        <f>Tabla1[[#This Row],[P Piso]]-(Tabla1[[#This Row],[P Piso]]*25%)</f>
        <v>25878.0504</v>
      </c>
      <c r="K377" s="440">
        <f>IF((1-(Tabla1[[#This Row],[P Piso-25%]]/Tabla1[[#This Row],[P Oferta]]))=1,0,1-(Tabla1[[#This Row],[P Piso-25%]]/Tabla1[[#This Row],[P Oferta]]))</f>
        <v>0.78297866490707135</v>
      </c>
      <c r="L377" s="379"/>
      <c r="M377" s="469">
        <v>373</v>
      </c>
      <c r="N377" s="473"/>
      <c r="O377" s="473"/>
      <c r="P377" s="474"/>
      <c r="Q377" s="381"/>
      <c r="R377" s="380"/>
      <c r="S377" s="381"/>
      <c r="T377" s="106"/>
      <c r="W377" s="377">
        <v>0</v>
      </c>
    </row>
    <row r="378" spans="1:23" ht="13.5" customHeight="1">
      <c r="A378" s="477">
        <v>373</v>
      </c>
      <c r="B378" s="478" t="s">
        <v>344</v>
      </c>
      <c r="C378" s="378" t="s">
        <v>365</v>
      </c>
      <c r="D378" s="387">
        <f>VLOOKUP(A378,'Evento Cotiz'!$W$49:$Y$455,3,FALSE)</f>
        <v>0</v>
      </c>
      <c r="E378" s="422">
        <f>VLOOKUP(A378,'Evento Cotiz'!$A$49:$T$459,12,FALSE)</f>
        <v>4105721.7248</v>
      </c>
      <c r="F378" s="427">
        <f>VLOOKUP(A378,'Evento Cotiz'!$A$49:$T$459,13,FALSE)</f>
        <v>86027.401599999997</v>
      </c>
      <c r="G378" s="428">
        <f>Tabla1[[#This Row],[Cantidad]]*Tabla1[[#This Row],[P Piso]]</f>
        <v>0</v>
      </c>
      <c r="H378" s="433">
        <f>Tabla1[[#This Row],[P Piso]]-(Tabla1[[#This Row],[P Piso]]*20%)</f>
        <v>68821.921279999995</v>
      </c>
      <c r="I378" s="434">
        <f>IF((1-(Tabla1[[#This Row],[P Piso-20%]]/Tabla1[[#This Row],[P Oferta]]))=1,0,1-(Tabla1[[#This Row],[P Piso-20%]]/Tabla1[[#This Row],[P Oferta]]))</f>
        <v>0.98323755824358683</v>
      </c>
      <c r="J378" s="439">
        <f>Tabla1[[#This Row],[P Piso]]-(Tabla1[[#This Row],[P Piso]]*25%)</f>
        <v>64520.551200000002</v>
      </c>
      <c r="K378" s="440">
        <f>IF((1-(Tabla1[[#This Row],[P Piso-25%]]/Tabla1[[#This Row],[P Oferta]]))=1,0,1-(Tabla1[[#This Row],[P Piso-25%]]/Tabla1[[#This Row],[P Oferta]]))</f>
        <v>0.98428521085336274</v>
      </c>
      <c r="L378" s="379"/>
      <c r="M378" s="469">
        <v>374</v>
      </c>
      <c r="N378" s="473"/>
      <c r="O378" s="473"/>
      <c r="P378" s="474"/>
      <c r="Q378" s="381"/>
      <c r="R378" s="380"/>
      <c r="S378" s="381"/>
      <c r="T378" s="106"/>
      <c r="W378" s="377">
        <v>0</v>
      </c>
    </row>
    <row r="379" spans="1:23" ht="13.5" customHeight="1">
      <c r="A379" s="477">
        <v>374</v>
      </c>
      <c r="B379" s="478" t="s">
        <v>345</v>
      </c>
      <c r="C379" s="378" t="s">
        <v>366</v>
      </c>
      <c r="D379" s="387">
        <f>VLOOKUP(A379,'Evento Cotiz'!$W$49:$Y$455,3,FALSE)</f>
        <v>0</v>
      </c>
      <c r="E379" s="422">
        <f>VLOOKUP(A379,'Evento Cotiz'!$A$49:$T$459,12,FALSE)</f>
        <v>20112.984</v>
      </c>
      <c r="F379" s="427">
        <f>VLOOKUP(A379,'Evento Cotiz'!$A$49:$T$459,13,FALSE)</f>
        <v>4573.3680000000004</v>
      </c>
      <c r="G379" s="428">
        <f>Tabla1[[#This Row],[Cantidad]]*Tabla1[[#This Row],[P Piso]]</f>
        <v>0</v>
      </c>
      <c r="H379" s="433">
        <f>Tabla1[[#This Row],[P Piso]]-(Tabla1[[#This Row],[P Piso]]*20%)</f>
        <v>3658.6944000000003</v>
      </c>
      <c r="I379" s="434">
        <f>IF((1-(Tabla1[[#This Row],[P Piso-20%]]/Tabla1[[#This Row],[P Oferta]]))=1,0,1-(Tabla1[[#This Row],[P Piso-20%]]/Tabla1[[#This Row],[P Oferta]]))</f>
        <v>0.81809290953545233</v>
      </c>
      <c r="J379" s="439">
        <f>Tabla1[[#This Row],[P Piso]]-(Tabla1[[#This Row],[P Piso]]*25%)</f>
        <v>3430.0260000000003</v>
      </c>
      <c r="K379" s="440">
        <f>IF((1-(Tabla1[[#This Row],[P Piso-25%]]/Tabla1[[#This Row],[P Oferta]]))=1,0,1-(Tabla1[[#This Row],[P Piso-25%]]/Tabla1[[#This Row],[P Oferta]]))</f>
        <v>0.8294621026894865</v>
      </c>
      <c r="L379" s="379"/>
      <c r="M379" s="469">
        <v>375</v>
      </c>
      <c r="N379" s="473"/>
      <c r="O379" s="473"/>
      <c r="P379" s="474"/>
      <c r="Q379" s="381"/>
      <c r="R379" s="380"/>
      <c r="S379" s="381"/>
      <c r="T379" s="106"/>
      <c r="W379" s="377">
        <v>0</v>
      </c>
    </row>
    <row r="380" spans="1:23" ht="13.5" customHeight="1">
      <c r="A380" s="477">
        <v>375</v>
      </c>
      <c r="B380" s="478" t="s">
        <v>345</v>
      </c>
      <c r="C380" s="378" t="s">
        <v>365</v>
      </c>
      <c r="D380" s="387">
        <f>VLOOKUP(A380,'Evento Cotiz'!$W$49:$Y$455,3,FALSE)</f>
        <v>0</v>
      </c>
      <c r="E380" s="422">
        <f>VLOOKUP(A380,'Evento Cotiz'!$A$49:$T$459,12,FALSE)</f>
        <v>358267.92320000002</v>
      </c>
      <c r="F380" s="427">
        <f>VLOOKUP(A380,'Evento Cotiz'!$A$49:$T$459,13,FALSE)</f>
        <v>5492.4128000000001</v>
      </c>
      <c r="G380" s="428">
        <f>Tabla1[[#This Row],[Cantidad]]*Tabla1[[#This Row],[P Piso]]</f>
        <v>0</v>
      </c>
      <c r="H380" s="433">
        <f>Tabla1[[#This Row],[P Piso]]-(Tabla1[[#This Row],[P Piso]]*20%)</f>
        <v>4393.9302399999997</v>
      </c>
      <c r="I380" s="434">
        <f>IF((1-(Tabla1[[#This Row],[P Piso-20%]]/Tabla1[[#This Row],[P Oferta]]))=1,0,1-(Tabla1[[#This Row],[P Piso-20%]]/Tabla1[[#This Row],[P Oferta]]))</f>
        <v>0.98773563036078138</v>
      </c>
      <c r="J380" s="439">
        <f>Tabla1[[#This Row],[P Piso]]-(Tabla1[[#This Row],[P Piso]]*25%)</f>
        <v>4119.3096000000005</v>
      </c>
      <c r="K380" s="440">
        <f>IF((1-(Tabla1[[#This Row],[P Piso-25%]]/Tabla1[[#This Row],[P Oferta]]))=1,0,1-(Tabla1[[#This Row],[P Piso-25%]]/Tabla1[[#This Row],[P Oferta]]))</f>
        <v>0.98850215346323256</v>
      </c>
      <c r="L380" s="379"/>
      <c r="M380" s="469">
        <v>376</v>
      </c>
      <c r="N380" s="473"/>
      <c r="O380" s="473"/>
      <c r="P380" s="474"/>
      <c r="Q380" s="381"/>
      <c r="R380" s="380"/>
      <c r="S380" s="381"/>
      <c r="T380" s="106"/>
      <c r="W380" s="377">
        <v>0</v>
      </c>
    </row>
    <row r="381" spans="1:23" ht="13.5" customHeight="1">
      <c r="A381" s="477">
        <v>376</v>
      </c>
      <c r="B381" s="478" t="s">
        <v>346</v>
      </c>
      <c r="C381" s="378" t="s">
        <v>366</v>
      </c>
      <c r="D381" s="387">
        <f>VLOOKUP(A381,'Evento Cotiz'!$W$49:$Y$455,3,FALSE)</f>
        <v>0</v>
      </c>
      <c r="E381" s="422">
        <f>VLOOKUP(A381,'Evento Cotiz'!$A$49:$T$459,12,FALSE)</f>
        <v>17269.518400000001</v>
      </c>
      <c r="F381" s="427">
        <f>VLOOKUP(A381,'Evento Cotiz'!$A$49:$T$459,13,FALSE)</f>
        <v>4706.6895999999997</v>
      </c>
      <c r="G381" s="428">
        <f>Tabla1[[#This Row],[Cantidad]]*Tabla1[[#This Row],[P Piso]]</f>
        <v>0</v>
      </c>
      <c r="H381" s="433">
        <f>Tabla1[[#This Row],[P Piso]]-(Tabla1[[#This Row],[P Piso]]*20%)</f>
        <v>3765.3516799999998</v>
      </c>
      <c r="I381" s="434">
        <f>IF((1-(Tabla1[[#This Row],[P Piso-20%]]/Tabla1[[#This Row],[P Oferta]]))=1,0,1-(Tabla1[[#This Row],[P Piso-20%]]/Tabla1[[#This Row],[P Oferta]]))</f>
        <v>0.7819654495981776</v>
      </c>
      <c r="J381" s="439">
        <f>Tabla1[[#This Row],[P Piso]]-(Tabla1[[#This Row],[P Piso]]*25%)</f>
        <v>3530.0171999999998</v>
      </c>
      <c r="K381" s="440">
        <f>IF((1-(Tabla1[[#This Row],[P Piso-25%]]/Tabla1[[#This Row],[P Oferta]]))=1,0,1-(Tabla1[[#This Row],[P Piso-25%]]/Tabla1[[#This Row],[P Oferta]]))</f>
        <v>0.79559260899829143</v>
      </c>
      <c r="L381" s="379"/>
      <c r="M381" s="469">
        <v>377</v>
      </c>
      <c r="N381" s="473"/>
      <c r="O381" s="473"/>
      <c r="P381" s="474"/>
      <c r="Q381" s="381"/>
      <c r="R381" s="380"/>
      <c r="S381" s="381"/>
      <c r="T381" s="106"/>
      <c r="W381" s="377">
        <v>0</v>
      </c>
    </row>
    <row r="382" spans="1:23" ht="13.5" customHeight="1">
      <c r="A382" s="477">
        <v>377</v>
      </c>
      <c r="B382" s="478" t="s">
        <v>346</v>
      </c>
      <c r="C382" s="378" t="s">
        <v>365</v>
      </c>
      <c r="D382" s="387">
        <f>VLOOKUP(A382,'Evento Cotiz'!$W$49:$Y$455,3,FALSE)</f>
        <v>0</v>
      </c>
      <c r="E382" s="422">
        <f>VLOOKUP(A382,'Evento Cotiz'!$A$49:$T$459,12,FALSE)</f>
        <v>241066.21600000001</v>
      </c>
      <c r="F382" s="427">
        <f>VLOOKUP(A382,'Evento Cotiz'!$A$49:$T$459,13,FALSE)</f>
        <v>5620.2704000000003</v>
      </c>
      <c r="G382" s="428">
        <f>Tabla1[[#This Row],[Cantidad]]*Tabla1[[#This Row],[P Piso]]</f>
        <v>0</v>
      </c>
      <c r="H382" s="433">
        <f>Tabla1[[#This Row],[P Piso]]-(Tabla1[[#This Row],[P Piso]]*20%)</f>
        <v>4496.2163200000005</v>
      </c>
      <c r="I382" s="434">
        <f>IF((1-(Tabla1[[#This Row],[P Piso-20%]]/Tabla1[[#This Row],[P Oferta]]))=1,0,1-(Tabla1[[#This Row],[P Piso-20%]]/Tabla1[[#This Row],[P Oferta]]))</f>
        <v>0.98134862530882383</v>
      </c>
      <c r="J382" s="439">
        <f>Tabla1[[#This Row],[P Piso]]-(Tabla1[[#This Row],[P Piso]]*25%)</f>
        <v>4215.2028</v>
      </c>
      <c r="K382" s="440">
        <f>IF((1-(Tabla1[[#This Row],[P Piso-25%]]/Tabla1[[#This Row],[P Oferta]]))=1,0,1-(Tabla1[[#This Row],[P Piso-25%]]/Tabla1[[#This Row],[P Oferta]]))</f>
        <v>0.98251433622702233</v>
      </c>
      <c r="L382" s="379"/>
      <c r="M382" s="469">
        <v>378</v>
      </c>
      <c r="N382" s="473"/>
      <c r="O382" s="473"/>
      <c r="P382" s="474"/>
      <c r="Q382" s="381"/>
      <c r="R382" s="380"/>
      <c r="S382" s="381"/>
      <c r="T382" s="106"/>
      <c r="W382" s="377">
        <v>0</v>
      </c>
    </row>
    <row r="383" spans="1:23" ht="13.5" customHeight="1">
      <c r="A383" s="477">
        <v>378</v>
      </c>
      <c r="B383" s="478" t="s">
        <v>347</v>
      </c>
      <c r="C383" s="378" t="s">
        <v>365</v>
      </c>
      <c r="D383" s="387">
        <f>VLOOKUP(A383,'Evento Cotiz'!$W$49:$Y$455,3,FALSE)</f>
        <v>0</v>
      </c>
      <c r="E383" s="422">
        <f>VLOOKUP(A383,'Evento Cotiz'!$A$49:$T$459,12,FALSE)</f>
        <v>765502.02879999997</v>
      </c>
      <c r="F383" s="427">
        <f>VLOOKUP(A383,'Evento Cotiz'!$A$49:$T$459,13,FALSE)</f>
        <v>8869.1648000000005</v>
      </c>
      <c r="G383" s="428">
        <f>Tabla1[[#This Row],[Cantidad]]*Tabla1[[#This Row],[P Piso]]</f>
        <v>0</v>
      </c>
      <c r="H383" s="433">
        <f>Tabla1[[#This Row],[P Piso]]-(Tabla1[[#This Row],[P Piso]]*20%)</f>
        <v>7095.3318400000007</v>
      </c>
      <c r="I383" s="434">
        <f>IF((1-(Tabla1[[#This Row],[P Piso-20%]]/Tabla1[[#This Row],[P Oferta]]))=1,0,1-(Tabla1[[#This Row],[P Piso-20%]]/Tabla1[[#This Row],[P Oferta]]))</f>
        <v>0.99073113907859578</v>
      </c>
      <c r="J383" s="439">
        <f>Tabla1[[#This Row],[P Piso]]-(Tabla1[[#This Row],[P Piso]]*25%)</f>
        <v>6651.8736000000008</v>
      </c>
      <c r="K383" s="440">
        <f>IF((1-(Tabla1[[#This Row],[P Piso-25%]]/Tabla1[[#This Row],[P Oferta]]))=1,0,1-(Tabla1[[#This Row],[P Piso-25%]]/Tabla1[[#This Row],[P Oferta]]))</f>
        <v>0.99131044288618353</v>
      </c>
      <c r="L383" s="379"/>
      <c r="M383" s="469">
        <v>379</v>
      </c>
      <c r="N383" s="473"/>
      <c r="O383" s="473"/>
      <c r="P383" s="474"/>
      <c r="Q383" s="381"/>
      <c r="R383" s="380"/>
      <c r="S383" s="381"/>
      <c r="T383" s="106"/>
      <c r="W383" s="377">
        <v>0</v>
      </c>
    </row>
    <row r="384" spans="1:23" ht="13.5" customHeight="1">
      <c r="A384" s="477">
        <v>379</v>
      </c>
      <c r="B384" s="478" t="s">
        <v>348</v>
      </c>
      <c r="C384" s="378" t="s">
        <v>365</v>
      </c>
      <c r="D384" s="387">
        <f>VLOOKUP(A384,'Evento Cotiz'!$W$49:$Y$455,3,FALSE)</f>
        <v>0</v>
      </c>
      <c r="E384" s="422">
        <f>VLOOKUP(A384,'Evento Cotiz'!$A$49:$T$459,12,FALSE)</f>
        <v>898600.69759999996</v>
      </c>
      <c r="F384" s="427">
        <f>VLOOKUP(A384,'Evento Cotiz'!$A$49:$T$459,13,FALSE)</f>
        <v>12331.155199999999</v>
      </c>
      <c r="G384" s="428">
        <f>Tabla1[[#This Row],[Cantidad]]*Tabla1[[#This Row],[P Piso]]</f>
        <v>0</v>
      </c>
      <c r="H384" s="433">
        <f>Tabla1[[#This Row],[P Piso]]-(Tabla1[[#This Row],[P Piso]]*20%)</f>
        <v>9864.9241599999987</v>
      </c>
      <c r="I384" s="434">
        <f>IF((1-(Tabla1[[#This Row],[P Piso-20%]]/Tabla1[[#This Row],[P Oferta]]))=1,0,1-(Tabla1[[#This Row],[P Piso-20%]]/Tabla1[[#This Row],[P Oferta]]))</f>
        <v>0.98902190462755324</v>
      </c>
      <c r="J384" s="439">
        <f>Tabla1[[#This Row],[P Piso]]-(Tabla1[[#This Row],[P Piso]]*25%)</f>
        <v>9248.366399999999</v>
      </c>
      <c r="K384" s="440">
        <f>IF((1-(Tabla1[[#This Row],[P Piso-25%]]/Tabla1[[#This Row],[P Oferta]]))=1,0,1-(Tabla1[[#This Row],[P Piso-25%]]/Tabla1[[#This Row],[P Oferta]]))</f>
        <v>0.9897080355883312</v>
      </c>
      <c r="L384" s="379"/>
      <c r="M384" s="469">
        <v>380</v>
      </c>
      <c r="N384" s="473"/>
      <c r="O384" s="473"/>
      <c r="P384" s="474"/>
      <c r="Q384" s="381"/>
      <c r="R384" s="380"/>
      <c r="S384" s="381"/>
      <c r="T384" s="106"/>
      <c r="W384" s="377">
        <v>0</v>
      </c>
    </row>
    <row r="385" spans="1:23" ht="13.5" customHeight="1">
      <c r="A385" s="477">
        <v>380</v>
      </c>
      <c r="B385" s="478" t="s">
        <v>349</v>
      </c>
      <c r="C385" s="378" t="s">
        <v>366</v>
      </c>
      <c r="D385" s="387">
        <f>VLOOKUP(A385,'Evento Cotiz'!$W$49:$Y$455,3,FALSE)</f>
        <v>0</v>
      </c>
      <c r="E385" s="422">
        <f>VLOOKUP(A385,'Evento Cotiz'!$A$49:$T$459,12,FALSE)</f>
        <v>98214.307199999996</v>
      </c>
      <c r="F385" s="427">
        <f>VLOOKUP(A385,'Evento Cotiz'!$A$49:$T$459,13,FALSE)</f>
        <v>21228.732799999998</v>
      </c>
      <c r="G385" s="428">
        <f>Tabla1[[#This Row],[Cantidad]]*Tabla1[[#This Row],[P Piso]]</f>
        <v>0</v>
      </c>
      <c r="H385" s="433">
        <f>Tabla1[[#This Row],[P Piso]]-(Tabla1[[#This Row],[P Piso]]*20%)</f>
        <v>16982.986239999998</v>
      </c>
      <c r="I385" s="434">
        <f>IF((1-(Tabla1[[#This Row],[P Piso-20%]]/Tabla1[[#This Row],[P Oferta]]))=1,0,1-(Tabla1[[#This Row],[P Piso-20%]]/Tabla1[[#This Row],[P Oferta]]))</f>
        <v>0.82708235974809174</v>
      </c>
      <c r="J385" s="439">
        <f>Tabla1[[#This Row],[P Piso]]-(Tabla1[[#This Row],[P Piso]]*25%)</f>
        <v>15921.549599999998</v>
      </c>
      <c r="K385" s="440">
        <f>IF((1-(Tabla1[[#This Row],[P Piso-25%]]/Tabla1[[#This Row],[P Oferta]]))=1,0,1-(Tabla1[[#This Row],[P Piso-25%]]/Tabla1[[#This Row],[P Oferta]]))</f>
        <v>0.83788971226383602</v>
      </c>
      <c r="L385" s="379"/>
      <c r="M385" s="469">
        <v>381</v>
      </c>
      <c r="N385" s="473"/>
      <c r="O385" s="473"/>
      <c r="P385" s="474"/>
      <c r="Q385" s="381"/>
      <c r="R385" s="380"/>
      <c r="S385" s="381"/>
      <c r="T385" s="106"/>
      <c r="W385" s="377">
        <v>0</v>
      </c>
    </row>
    <row r="386" spans="1:23" ht="13.5" customHeight="1">
      <c r="A386" s="477">
        <v>381</v>
      </c>
      <c r="B386" s="478" t="s">
        <v>349</v>
      </c>
      <c r="C386" s="378" t="s">
        <v>365</v>
      </c>
      <c r="D386" s="387">
        <f>VLOOKUP(A386,'Evento Cotiz'!$W$49:$Y$455,3,FALSE)</f>
        <v>0</v>
      </c>
      <c r="E386" s="422">
        <f>VLOOKUP(A386,'Evento Cotiz'!$A$49:$T$459,12,FALSE)</f>
        <v>2302735.0463999999</v>
      </c>
      <c r="F386" s="427">
        <f>VLOOKUP(A386,'Evento Cotiz'!$A$49:$T$459,13,FALSE)</f>
        <v>35781.5504</v>
      </c>
      <c r="G386" s="428">
        <f>Tabla1[[#This Row],[Cantidad]]*Tabla1[[#This Row],[P Piso]]</f>
        <v>0</v>
      </c>
      <c r="H386" s="433">
        <f>Tabla1[[#This Row],[P Piso]]-(Tabla1[[#This Row],[P Piso]]*20%)</f>
        <v>28625.240320000001</v>
      </c>
      <c r="I386" s="434">
        <f>IF((1-(Tabla1[[#This Row],[P Piso-20%]]/Tabla1[[#This Row],[P Oferta]]))=1,0,1-(Tabla1[[#This Row],[P Piso-20%]]/Tabla1[[#This Row],[P Oferta]]))</f>
        <v>0.98756902563985749</v>
      </c>
      <c r="J386" s="439">
        <f>Tabla1[[#This Row],[P Piso]]-(Tabla1[[#This Row],[P Piso]]*25%)</f>
        <v>26836.162799999998</v>
      </c>
      <c r="K386" s="440">
        <f>IF((1-(Tabla1[[#This Row],[P Piso-25%]]/Tabla1[[#This Row],[P Oferta]]))=1,0,1-(Tabla1[[#This Row],[P Piso-25%]]/Tabla1[[#This Row],[P Oferta]]))</f>
        <v>0.98834596153736642</v>
      </c>
      <c r="L386" s="379"/>
      <c r="M386" s="469">
        <v>382</v>
      </c>
      <c r="N386" s="473"/>
      <c r="O386" s="473"/>
      <c r="P386" s="474"/>
      <c r="Q386" s="381"/>
      <c r="R386" s="380"/>
      <c r="S386" s="381"/>
      <c r="T386" s="106"/>
      <c r="W386" s="377">
        <v>0</v>
      </c>
    </row>
    <row r="387" spans="1:23" ht="13.5" customHeight="1">
      <c r="A387" s="477">
        <v>382</v>
      </c>
      <c r="B387" s="478" t="s">
        <v>350</v>
      </c>
      <c r="C387" s="378" t="s">
        <v>366</v>
      </c>
      <c r="D387" s="387">
        <f>VLOOKUP(A387,'Evento Cotiz'!$W$49:$Y$455,3,FALSE)</f>
        <v>0</v>
      </c>
      <c r="E387" s="422">
        <f>VLOOKUP(A387,'Evento Cotiz'!$A$49:$T$459,12,FALSE)</f>
        <v>184251.54399999999</v>
      </c>
      <c r="F387" s="427">
        <f>VLOOKUP(A387,'Evento Cotiz'!$A$49:$T$459,13,FALSE)</f>
        <v>35679.919999999998</v>
      </c>
      <c r="G387" s="428">
        <f>Tabla1[[#This Row],[Cantidad]]*Tabla1[[#This Row],[P Piso]]</f>
        <v>0</v>
      </c>
      <c r="H387" s="433">
        <f>Tabla1[[#This Row],[P Piso]]-(Tabla1[[#This Row],[P Piso]]*20%)</f>
        <v>28543.935999999998</v>
      </c>
      <c r="I387" s="434">
        <f>IF((1-(Tabla1[[#This Row],[P Piso-20%]]/Tabla1[[#This Row],[P Oferta]]))=1,0,1-(Tabla1[[#This Row],[P Piso-20%]]/Tabla1[[#This Row],[P Oferta]]))</f>
        <v>0.84508169983096582</v>
      </c>
      <c r="J387" s="439">
        <f>Tabla1[[#This Row],[P Piso]]-(Tabla1[[#This Row],[P Piso]]*25%)</f>
        <v>26759.94</v>
      </c>
      <c r="K387" s="440">
        <f>IF((1-(Tabla1[[#This Row],[P Piso-25%]]/Tabla1[[#This Row],[P Oferta]]))=1,0,1-(Tabla1[[#This Row],[P Piso-25%]]/Tabla1[[#This Row],[P Oferta]]))</f>
        <v>0.85476409359153049</v>
      </c>
      <c r="L387" s="379"/>
      <c r="M387" s="469">
        <v>383</v>
      </c>
      <c r="N387" s="473"/>
      <c r="O387" s="473"/>
      <c r="P387" s="474"/>
      <c r="Q387" s="381"/>
      <c r="R387" s="380"/>
      <c r="S387" s="381"/>
      <c r="T387" s="106"/>
      <c r="W387" s="377">
        <v>0</v>
      </c>
    </row>
    <row r="388" spans="1:23">
      <c r="A388" s="477">
        <v>383</v>
      </c>
      <c r="B388" s="478" t="s">
        <v>350</v>
      </c>
      <c r="C388" s="378" t="s">
        <v>365</v>
      </c>
      <c r="D388" s="387">
        <f>VLOOKUP(A388,'Evento Cotiz'!$W$49:$Y$455,3,FALSE)</f>
        <v>0</v>
      </c>
      <c r="E388" s="422">
        <f>VLOOKUP(A388,'Evento Cotiz'!$A$49:$T$459,12,FALSE)</f>
        <v>4066102.2607999998</v>
      </c>
      <c r="F388" s="427">
        <f>VLOOKUP(A388,'Evento Cotiz'!$A$49:$T$459,13,FALSE)</f>
        <v>69009.227199999994</v>
      </c>
      <c r="G388" s="428">
        <f>Tabla1[[#This Row],[Cantidad]]*Tabla1[[#This Row],[P Piso]]</f>
        <v>0</v>
      </c>
      <c r="H388" s="433">
        <f>Tabla1[[#This Row],[P Piso]]-(Tabla1[[#This Row],[P Piso]]*20%)</f>
        <v>55207.381759999997</v>
      </c>
      <c r="I388" s="434">
        <f>IF((1-(Tabla1[[#This Row],[P Piso-20%]]/Tabla1[[#This Row],[P Oferta]]))=1,0,1-(Tabla1[[#This Row],[P Piso-20%]]/Tabla1[[#This Row],[P Oferta]]))</f>
        <v>0.98642252992694335</v>
      </c>
      <c r="J388" s="439">
        <f>Tabla1[[#This Row],[P Piso]]-(Tabla1[[#This Row],[P Piso]]*25%)</f>
        <v>51756.920399999995</v>
      </c>
      <c r="K388" s="440">
        <f>IF((1-(Tabla1[[#This Row],[P Piso-25%]]/Tabla1[[#This Row],[P Oferta]]))=1,0,1-(Tabla1[[#This Row],[P Piso-25%]]/Tabla1[[#This Row],[P Oferta]]))</f>
        <v>0.98727112180650933</v>
      </c>
      <c r="L388" s="379"/>
      <c r="M388" s="469">
        <v>384</v>
      </c>
      <c r="N388" s="473"/>
      <c r="O388" s="473"/>
      <c r="P388" s="474"/>
      <c r="Q388" s="381"/>
      <c r="R388" s="380"/>
      <c r="S388" s="381"/>
      <c r="T388" s="106"/>
      <c r="W388" s="377">
        <v>1</v>
      </c>
    </row>
    <row r="389" spans="1:23">
      <c r="A389" s="477">
        <v>384</v>
      </c>
      <c r="B389" s="478" t="s">
        <v>351</v>
      </c>
      <c r="C389" s="378" t="s">
        <v>366</v>
      </c>
      <c r="D389" s="387">
        <f>VLOOKUP(A389,'Evento Cotiz'!$W$49:$Y$455,3,FALSE)</f>
        <v>0</v>
      </c>
      <c r="E389" s="422">
        <f>VLOOKUP(A389,'Evento Cotiz'!$A$49:$T$459,12,FALSE)</f>
        <v>269375.2</v>
      </c>
      <c r="F389" s="427">
        <f>VLOOKUP(A389,'Evento Cotiz'!$A$49:$T$459,13,FALSE)</f>
        <v>86586.915200000003</v>
      </c>
      <c r="G389" s="428">
        <f>Tabla1[[#This Row],[Cantidad]]*Tabla1[[#This Row],[P Piso]]</f>
        <v>0</v>
      </c>
      <c r="H389" s="433">
        <f>Tabla1[[#This Row],[P Piso]]-(Tabla1[[#This Row],[P Piso]]*20%)</f>
        <v>69269.532160000002</v>
      </c>
      <c r="I389" s="434">
        <f>IF((1-(Tabla1[[#This Row],[P Piso-20%]]/Tabla1[[#This Row],[P Oferta]]))=1,0,1-(Tabla1[[#This Row],[P Piso-20%]]/Tabla1[[#This Row],[P Oferta]]))</f>
        <v>0.74285111561866124</v>
      </c>
      <c r="J389" s="439">
        <f>Tabla1[[#This Row],[P Piso]]-(Tabla1[[#This Row],[P Piso]]*25%)</f>
        <v>64940.186400000006</v>
      </c>
      <c r="K389" s="440">
        <f>IF((1-(Tabla1[[#This Row],[P Piso-25%]]/Tabla1[[#This Row],[P Oferta]]))=1,0,1-(Tabla1[[#This Row],[P Piso-25%]]/Tabla1[[#This Row],[P Oferta]]))</f>
        <v>0.75892292089249491</v>
      </c>
      <c r="L389" s="379"/>
      <c r="M389" s="469">
        <v>385</v>
      </c>
      <c r="N389" s="473"/>
      <c r="O389" s="473"/>
      <c r="P389" s="474"/>
      <c r="Q389" s="381"/>
      <c r="R389" s="380"/>
      <c r="S389" s="381"/>
      <c r="T389" s="106"/>
      <c r="W389" s="377">
        <v>0</v>
      </c>
    </row>
    <row r="390" spans="1:23">
      <c r="A390" s="477">
        <v>385</v>
      </c>
      <c r="B390" s="478" t="s">
        <v>351</v>
      </c>
      <c r="C390" s="378" t="s">
        <v>365</v>
      </c>
      <c r="D390" s="387">
        <f>VLOOKUP(A390,'Evento Cotiz'!$W$49:$Y$455,3,FALSE)</f>
        <v>0</v>
      </c>
      <c r="E390" s="422">
        <f>VLOOKUP(A390,'Evento Cotiz'!$A$49:$T$459,12,FALSE)</f>
        <v>5693662.8480000002</v>
      </c>
      <c r="F390" s="427">
        <f>VLOOKUP(A390,'Evento Cotiz'!$A$49:$T$459,13,FALSE)</f>
        <v>90988.713600000003</v>
      </c>
      <c r="G390" s="428">
        <f>Tabla1[[#This Row],[Cantidad]]*Tabla1[[#This Row],[P Piso]]</f>
        <v>0</v>
      </c>
      <c r="H390" s="433">
        <f>Tabla1[[#This Row],[P Piso]]-(Tabla1[[#This Row],[P Piso]]*20%)</f>
        <v>72790.970880000008</v>
      </c>
      <c r="I390" s="434">
        <f>IF((1-(Tabla1[[#This Row],[P Piso-20%]]/Tabla1[[#This Row],[P Oferta]]))=1,0,1-(Tabla1[[#This Row],[P Piso-20%]]/Tabla1[[#This Row],[P Oferta]]))</f>
        <v>0.98721544060067257</v>
      </c>
      <c r="J390" s="439">
        <f>Tabla1[[#This Row],[P Piso]]-(Tabla1[[#This Row],[P Piso]]*25%)</f>
        <v>68241.535199999998</v>
      </c>
      <c r="K390" s="440">
        <f>IF((1-(Tabla1[[#This Row],[P Piso-25%]]/Tabla1[[#This Row],[P Oferta]]))=1,0,1-(Tabla1[[#This Row],[P Piso-25%]]/Tabla1[[#This Row],[P Oferta]]))</f>
        <v>0.98801447556313049</v>
      </c>
      <c r="L390" s="379"/>
      <c r="M390" s="469">
        <v>386</v>
      </c>
      <c r="N390" s="473"/>
      <c r="O390" s="473"/>
      <c r="P390" s="474"/>
      <c r="Q390" s="381"/>
      <c r="R390" s="380"/>
      <c r="S390" s="381"/>
      <c r="T390" s="106"/>
      <c r="W390" s="377">
        <v>0</v>
      </c>
    </row>
    <row r="391" spans="1:23">
      <c r="A391" s="477">
        <v>386</v>
      </c>
      <c r="B391" s="478" t="s">
        <v>352</v>
      </c>
      <c r="C391" s="378" t="s">
        <v>366</v>
      </c>
      <c r="D391" s="387">
        <f>VLOOKUP(A391,'Evento Cotiz'!$W$49:$Y$455,3,FALSE)</f>
        <v>0</v>
      </c>
      <c r="E391" s="422">
        <f>VLOOKUP(A391,'Evento Cotiz'!$A$49:$T$459,12,FALSE)</f>
        <v>279820.18239999999</v>
      </c>
      <c r="F391" s="427">
        <f>VLOOKUP(A391,'Evento Cotiz'!$A$49:$T$459,13,FALSE)</f>
        <v>92713.152000000002</v>
      </c>
      <c r="G391" s="428">
        <f>Tabla1[[#This Row],[Cantidad]]*Tabla1[[#This Row],[P Piso]]</f>
        <v>0</v>
      </c>
      <c r="H391" s="433">
        <f>Tabla1[[#This Row],[P Piso]]-(Tabla1[[#This Row],[P Piso]]*20%)</f>
        <v>74170.521600000007</v>
      </c>
      <c r="I391" s="434">
        <f>IF((1-(Tabla1[[#This Row],[P Piso-20%]]/Tabla1[[#This Row],[P Oferta]]))=1,0,1-(Tabla1[[#This Row],[P Piso-20%]]/Tabla1[[#This Row],[P Oferta]]))</f>
        <v>0.73493505377687862</v>
      </c>
      <c r="J391" s="439">
        <f>Tabla1[[#This Row],[P Piso]]-(Tabla1[[#This Row],[P Piso]]*25%)</f>
        <v>69534.864000000001</v>
      </c>
      <c r="K391" s="440">
        <f>IF((1-(Tabla1[[#This Row],[P Piso-25%]]/Tabla1[[#This Row],[P Oferta]]))=1,0,1-(Tabla1[[#This Row],[P Piso-25%]]/Tabla1[[#This Row],[P Oferta]]))</f>
        <v>0.75150161291582374</v>
      </c>
      <c r="L391" s="379"/>
      <c r="M391" s="469">
        <v>387</v>
      </c>
      <c r="N391" s="473"/>
      <c r="O391" s="473"/>
      <c r="P391" s="474"/>
      <c r="Q391" s="381"/>
      <c r="R391" s="380"/>
      <c r="S391" s="381"/>
      <c r="T391" s="106"/>
      <c r="W391" s="377">
        <v>0</v>
      </c>
    </row>
    <row r="392" spans="1:23">
      <c r="A392" s="477">
        <v>387</v>
      </c>
      <c r="B392" s="478" t="s">
        <v>352</v>
      </c>
      <c r="C392" s="378" t="s">
        <v>365</v>
      </c>
      <c r="D392" s="387">
        <f>VLOOKUP(A392,'Evento Cotiz'!$W$49:$Y$455,3,FALSE)</f>
        <v>0</v>
      </c>
      <c r="E392" s="422">
        <f>VLOOKUP(A392,'Evento Cotiz'!$A$49:$T$459,12,FALSE)</f>
        <v>6105259.4112</v>
      </c>
      <c r="F392" s="427">
        <f>VLOOKUP(A392,'Evento Cotiz'!$A$49:$T$459,13,FALSE)</f>
        <v>99296.179199999999</v>
      </c>
      <c r="G392" s="428">
        <f>Tabla1[[#This Row],[Cantidad]]*Tabla1[[#This Row],[P Piso]]</f>
        <v>0</v>
      </c>
      <c r="H392" s="433">
        <f>Tabla1[[#This Row],[P Piso]]-(Tabla1[[#This Row],[P Piso]]*20%)</f>
        <v>79436.943360000005</v>
      </c>
      <c r="I392" s="434">
        <f>IF((1-(Tabla1[[#This Row],[P Piso-20%]]/Tabla1[[#This Row],[P Oferta]]))=1,0,1-(Tabla1[[#This Row],[P Piso-20%]]/Tabla1[[#This Row],[P Oferta]]))</f>
        <v>0.98698876853385231</v>
      </c>
      <c r="J392" s="439">
        <f>Tabla1[[#This Row],[P Piso]]-(Tabla1[[#This Row],[P Piso]]*25%)</f>
        <v>74472.134399999995</v>
      </c>
      <c r="K392" s="440">
        <f>IF((1-(Tabla1[[#This Row],[P Piso-25%]]/Tabla1[[#This Row],[P Oferta]]))=1,0,1-(Tabla1[[#This Row],[P Piso-25%]]/Tabla1[[#This Row],[P Oferta]]))</f>
        <v>0.98780197050048646</v>
      </c>
      <c r="L392" s="379"/>
      <c r="M392" s="469">
        <v>388</v>
      </c>
      <c r="N392" s="473"/>
      <c r="O392" s="473"/>
      <c r="P392" s="474"/>
      <c r="Q392" s="381"/>
      <c r="R392" s="380"/>
      <c r="S392" s="381"/>
      <c r="T392" s="106"/>
      <c r="W392" s="377">
        <v>0</v>
      </c>
    </row>
    <row r="393" spans="1:23">
      <c r="A393" s="477">
        <v>388</v>
      </c>
      <c r="B393" s="478" t="s">
        <v>353</v>
      </c>
      <c r="C393" s="378" t="s">
        <v>366</v>
      </c>
      <c r="D393" s="387">
        <f>VLOOKUP(A393,'Evento Cotiz'!$W$49:$Y$455,3,FALSE)</f>
        <v>0</v>
      </c>
      <c r="E393" s="422">
        <f>VLOOKUP(A393,'Evento Cotiz'!$A$49:$T$459,12,FALSE)</f>
        <v>261302.68640000001</v>
      </c>
      <c r="F393" s="427">
        <f>VLOOKUP(A393,'Evento Cotiz'!$A$49:$T$459,13,FALSE)</f>
        <v>114655.4832</v>
      </c>
      <c r="G393" s="428">
        <f>Tabla1[[#This Row],[Cantidad]]*Tabla1[[#This Row],[P Piso]]</f>
        <v>0</v>
      </c>
      <c r="H393" s="433">
        <f>Tabla1[[#This Row],[P Piso]]-(Tabla1[[#This Row],[P Piso]]*20%)</f>
        <v>91724.386559999999</v>
      </c>
      <c r="I393" s="434">
        <f>IF((1-(Tabla1[[#This Row],[P Piso-20%]]/Tabla1[[#This Row],[P Oferta]]))=1,0,1-(Tabla1[[#This Row],[P Piso-20%]]/Tabla1[[#This Row],[P Oferta]]))</f>
        <v>0.64897266146131749</v>
      </c>
      <c r="J393" s="439">
        <f>Tabla1[[#This Row],[P Piso]]-(Tabla1[[#This Row],[P Piso]]*25%)</f>
        <v>85991.612399999998</v>
      </c>
      <c r="K393" s="440">
        <f>IF((1-(Tabla1[[#This Row],[P Piso-25%]]/Tabla1[[#This Row],[P Oferta]]))=1,0,1-(Tabla1[[#This Row],[P Piso-25%]]/Tabla1[[#This Row],[P Oferta]]))</f>
        <v>0.6709118701199851</v>
      </c>
      <c r="L393" s="379"/>
      <c r="M393" s="469">
        <v>389</v>
      </c>
      <c r="N393" s="473"/>
      <c r="O393" s="473"/>
      <c r="P393" s="474"/>
      <c r="Q393" s="381"/>
      <c r="R393" s="380"/>
      <c r="S393" s="381"/>
      <c r="T393" s="106"/>
      <c r="W393" s="377">
        <v>0</v>
      </c>
    </row>
    <row r="394" spans="1:23">
      <c r="A394" s="477">
        <v>389</v>
      </c>
      <c r="B394" s="478" t="s">
        <v>353</v>
      </c>
      <c r="C394" s="378" t="s">
        <v>365</v>
      </c>
      <c r="D394" s="387">
        <f>VLOOKUP(A394,'Evento Cotiz'!$W$49:$Y$455,3,FALSE)</f>
        <v>0</v>
      </c>
      <c r="E394" s="422">
        <f>VLOOKUP(A394,'Evento Cotiz'!$A$49:$T$459,12,FALSE)</f>
        <v>7803690.2640000004</v>
      </c>
      <c r="F394" s="427">
        <f>VLOOKUP(A394,'Evento Cotiz'!$A$49:$T$459,13,FALSE)</f>
        <v>114655.4832</v>
      </c>
      <c r="G394" s="428">
        <f>Tabla1[[#This Row],[Cantidad]]*Tabla1[[#This Row],[P Piso]]</f>
        <v>0</v>
      </c>
      <c r="H394" s="433">
        <f>Tabla1[[#This Row],[P Piso]]-(Tabla1[[#This Row],[P Piso]]*20%)</f>
        <v>91724.386559999999</v>
      </c>
      <c r="I394" s="434">
        <f>IF((1-(Tabla1[[#This Row],[P Piso-20%]]/Tabla1[[#This Row],[P Oferta]]))=1,0,1-(Tabla1[[#This Row],[P Piso-20%]]/Tabla1[[#This Row],[P Oferta]]))</f>
        <v>0.98824602419407348</v>
      </c>
      <c r="J394" s="439">
        <f>Tabla1[[#This Row],[P Piso]]-(Tabla1[[#This Row],[P Piso]]*25%)</f>
        <v>85991.612399999998</v>
      </c>
      <c r="K394" s="440">
        <f>IF((1-(Tabla1[[#This Row],[P Piso-25%]]/Tabla1[[#This Row],[P Oferta]]))=1,0,1-(Tabla1[[#This Row],[P Piso-25%]]/Tabla1[[#This Row],[P Oferta]]))</f>
        <v>0.98898064768194394</v>
      </c>
      <c r="L394" s="379"/>
      <c r="M394" s="469">
        <v>390</v>
      </c>
      <c r="N394" s="473"/>
      <c r="O394" s="473"/>
      <c r="P394" s="474"/>
      <c r="Q394" s="381"/>
      <c r="R394" s="380"/>
      <c r="S394" s="381"/>
      <c r="T394" s="106"/>
      <c r="W394" s="377">
        <v>0</v>
      </c>
    </row>
    <row r="395" spans="1:23">
      <c r="A395" s="477">
        <v>390</v>
      </c>
      <c r="B395" s="478" t="s">
        <v>354</v>
      </c>
      <c r="C395" s="378" t="s">
        <v>366</v>
      </c>
      <c r="D395" s="387">
        <f>VLOOKUP(A395,'Evento Cotiz'!$W$49:$Y$455,3,FALSE)</f>
        <v>0</v>
      </c>
      <c r="E395" s="422">
        <f>VLOOKUP(A395,'Evento Cotiz'!$A$49:$T$459,12,FALSE)</f>
        <v>219779.56479999999</v>
      </c>
      <c r="F395" s="427">
        <f>VLOOKUP(A395,'Evento Cotiz'!$A$49:$T$459,13,FALSE)</f>
        <v>88696.019199999995</v>
      </c>
      <c r="G395" s="428">
        <f>Tabla1[[#This Row],[Cantidad]]*Tabla1[[#This Row],[P Piso]]</f>
        <v>0</v>
      </c>
      <c r="H395" s="433">
        <f>Tabla1[[#This Row],[P Piso]]-(Tabla1[[#This Row],[P Piso]]*20%)</f>
        <v>70956.815359999993</v>
      </c>
      <c r="I395" s="434">
        <f>IF((1-(Tabla1[[#This Row],[P Piso-20%]]/Tabla1[[#This Row],[P Oferta]]))=1,0,1-(Tabla1[[#This Row],[P Piso-20%]]/Tabla1[[#This Row],[P Oferta]]))</f>
        <v>0.67714552795401661</v>
      </c>
      <c r="J395" s="439">
        <f>Tabla1[[#This Row],[P Piso]]-(Tabla1[[#This Row],[P Piso]]*25%)</f>
        <v>66522.0144</v>
      </c>
      <c r="K395" s="440">
        <f>IF((1-(Tabla1[[#This Row],[P Piso-25%]]/Tabla1[[#This Row],[P Oferta]]))=1,0,1-(Tabla1[[#This Row],[P Piso-25%]]/Tabla1[[#This Row],[P Oferta]]))</f>
        <v>0.69732393245689051</v>
      </c>
      <c r="L395" s="379"/>
      <c r="M395" s="469">
        <v>391</v>
      </c>
      <c r="N395" s="473"/>
      <c r="O395" s="473"/>
      <c r="P395" s="474"/>
      <c r="Q395" s="381"/>
      <c r="R395" s="380"/>
      <c r="S395" s="381"/>
      <c r="T395" s="106"/>
      <c r="W395" s="377">
        <v>0</v>
      </c>
    </row>
    <row r="396" spans="1:23">
      <c r="A396" s="477">
        <v>391</v>
      </c>
      <c r="B396" s="478" t="s">
        <v>354</v>
      </c>
      <c r="C396" s="378" t="s">
        <v>365</v>
      </c>
      <c r="D396" s="387">
        <f>VLOOKUP(A396,'Evento Cotiz'!$W$49:$Y$455,3,FALSE)</f>
        <v>0</v>
      </c>
      <c r="E396" s="422">
        <f>VLOOKUP(A396,'Evento Cotiz'!$A$49:$T$459,12,FALSE)</f>
        <v>5809307.3152000001</v>
      </c>
      <c r="F396" s="427">
        <f>VLOOKUP(A396,'Evento Cotiz'!$A$49:$T$459,13,FALSE)</f>
        <v>97478.852799999993</v>
      </c>
      <c r="G396" s="428">
        <f>Tabla1[[#This Row],[Cantidad]]*Tabla1[[#This Row],[P Piso]]</f>
        <v>0</v>
      </c>
      <c r="H396" s="433">
        <f>Tabla1[[#This Row],[P Piso]]-(Tabla1[[#This Row],[P Piso]]*20%)</f>
        <v>77983.082239999989</v>
      </c>
      <c r="I396" s="434">
        <f>IF((1-(Tabla1[[#This Row],[P Piso-20%]]/Tabla1[[#This Row],[P Oferta]]))=1,0,1-(Tabla1[[#This Row],[P Piso-20%]]/Tabla1[[#This Row],[P Oferta]]))</f>
        <v>0.98657618232109046</v>
      </c>
      <c r="J396" s="439">
        <f>Tabla1[[#This Row],[P Piso]]-(Tabla1[[#This Row],[P Piso]]*25%)</f>
        <v>73109.139599999995</v>
      </c>
      <c r="K396" s="440">
        <f>IF((1-(Tabla1[[#This Row],[P Piso-25%]]/Tabla1[[#This Row],[P Oferta]]))=1,0,1-(Tabla1[[#This Row],[P Piso-25%]]/Tabla1[[#This Row],[P Oferta]]))</f>
        <v>0.98741517092602238</v>
      </c>
      <c r="L396" s="379"/>
      <c r="M396" s="469">
        <v>392</v>
      </c>
      <c r="N396" s="473"/>
      <c r="O396" s="473"/>
      <c r="P396" s="474"/>
      <c r="Q396" s="381"/>
      <c r="R396" s="380"/>
      <c r="S396" s="381"/>
      <c r="T396" s="106"/>
      <c r="W396" s="377">
        <v>0</v>
      </c>
    </row>
    <row r="397" spans="1:23">
      <c r="A397" s="477">
        <v>392</v>
      </c>
      <c r="B397" s="478" t="s">
        <v>355</v>
      </c>
      <c r="C397" s="378" t="s">
        <v>366</v>
      </c>
      <c r="D397" s="387">
        <f>VLOOKUP(A397,'Evento Cotiz'!$W$49:$Y$455,3,FALSE)</f>
        <v>0</v>
      </c>
      <c r="E397" s="422">
        <f>VLOOKUP(A397,'Evento Cotiz'!$A$49:$T$459,12,FALSE)</f>
        <v>465383.08640000003</v>
      </c>
      <c r="F397" s="427">
        <f>VLOOKUP(A397,'Evento Cotiz'!$A$49:$T$459,13,FALSE)</f>
        <v>97132.435200000007</v>
      </c>
      <c r="G397" s="428">
        <f>Tabla1[[#This Row],[Cantidad]]*Tabla1[[#This Row],[P Piso]]</f>
        <v>0</v>
      </c>
      <c r="H397" s="433">
        <f>Tabla1[[#This Row],[P Piso]]-(Tabla1[[#This Row],[P Piso]]*20%)</f>
        <v>77705.94816</v>
      </c>
      <c r="I397" s="434">
        <f>IF((1-(Tabla1[[#This Row],[P Piso-20%]]/Tabla1[[#This Row],[P Oferta]]))=1,0,1-(Tabla1[[#This Row],[P Piso-20%]]/Tabla1[[#This Row],[P Oferta]]))</f>
        <v>0.83302799257038063</v>
      </c>
      <c r="J397" s="439">
        <f>Tabla1[[#This Row],[P Piso]]-(Tabla1[[#This Row],[P Piso]]*25%)</f>
        <v>72849.326400000005</v>
      </c>
      <c r="K397" s="440">
        <f>IF((1-(Tabla1[[#This Row],[P Piso-25%]]/Tabla1[[#This Row],[P Oferta]]))=1,0,1-(Tabla1[[#This Row],[P Piso-25%]]/Tabla1[[#This Row],[P Oferta]]))</f>
        <v>0.84346374303473182</v>
      </c>
      <c r="L397" s="379"/>
      <c r="M397" s="469">
        <v>393</v>
      </c>
      <c r="N397" s="473"/>
      <c r="O397" s="473"/>
      <c r="P397" s="474"/>
      <c r="Q397" s="381"/>
      <c r="R397" s="380"/>
      <c r="S397" s="381"/>
      <c r="T397" s="106"/>
      <c r="W397" s="377">
        <v>0</v>
      </c>
    </row>
    <row r="398" spans="1:23">
      <c r="A398" s="477">
        <v>393</v>
      </c>
      <c r="B398" s="478" t="s">
        <v>355</v>
      </c>
      <c r="C398" s="378" t="s">
        <v>365</v>
      </c>
      <c r="D398" s="387">
        <f>VLOOKUP(A398,'Evento Cotiz'!$W$49:$Y$455,3,FALSE)</f>
        <v>0</v>
      </c>
      <c r="E398" s="422">
        <f>VLOOKUP(A398,'Evento Cotiz'!$A$49:$T$459,12,FALSE)</f>
        <v>9101724.6608000007</v>
      </c>
      <c r="F398" s="427">
        <f>VLOOKUP(A398,'Evento Cotiz'!$A$49:$T$459,13,FALSE)</f>
        <v>97132.435200000007</v>
      </c>
      <c r="G398" s="428">
        <f>Tabla1[[#This Row],[Cantidad]]*Tabla1[[#This Row],[P Piso]]</f>
        <v>0</v>
      </c>
      <c r="H398" s="433">
        <f>Tabla1[[#This Row],[P Piso]]-(Tabla1[[#This Row],[P Piso]]*20%)</f>
        <v>77705.94816</v>
      </c>
      <c r="I398" s="434">
        <f>IF((1-(Tabla1[[#This Row],[P Piso-20%]]/Tabla1[[#This Row],[P Oferta]]))=1,0,1-(Tabla1[[#This Row],[P Piso-20%]]/Tabla1[[#This Row],[P Oferta]]))</f>
        <v>0.99146250287105808</v>
      </c>
      <c r="J398" s="439">
        <f>Tabla1[[#This Row],[P Piso]]-(Tabla1[[#This Row],[P Piso]]*25%)</f>
        <v>72849.326400000005</v>
      </c>
      <c r="K398" s="440">
        <f>IF((1-(Tabla1[[#This Row],[P Piso-25%]]/Tabla1[[#This Row],[P Oferta]]))=1,0,1-(Tabla1[[#This Row],[P Piso-25%]]/Tabla1[[#This Row],[P Oferta]]))</f>
        <v>0.9919960964416169</v>
      </c>
      <c r="L398" s="379"/>
      <c r="M398" s="469">
        <v>394</v>
      </c>
      <c r="N398" s="473"/>
      <c r="O398" s="473"/>
      <c r="P398" s="474"/>
      <c r="Q398" s="381"/>
      <c r="R398" s="380"/>
      <c r="S398" s="381"/>
      <c r="T398" s="106"/>
      <c r="W398" s="377">
        <v>0</v>
      </c>
    </row>
    <row r="399" spans="1:23">
      <c r="A399" s="477">
        <v>394</v>
      </c>
      <c r="B399" s="478" t="s">
        <v>356</v>
      </c>
      <c r="C399" s="378" t="s">
        <v>366</v>
      </c>
      <c r="D399" s="387">
        <f>VLOOKUP(A399,'Evento Cotiz'!$W$49:$Y$455,3,FALSE)</f>
        <v>0</v>
      </c>
      <c r="E399" s="422">
        <f>VLOOKUP(A399,'Evento Cotiz'!$A$49:$T$459,12,FALSE)</f>
        <v>466384.09120000002</v>
      </c>
      <c r="F399" s="427">
        <f>VLOOKUP(A399,'Evento Cotiz'!$A$49:$T$459,13,FALSE)</f>
        <v>95803.590400000001</v>
      </c>
      <c r="G399" s="428">
        <f>Tabla1[[#This Row],[Cantidad]]*Tabla1[[#This Row],[P Piso]]</f>
        <v>0</v>
      </c>
      <c r="H399" s="433">
        <f>Tabla1[[#This Row],[P Piso]]-(Tabla1[[#This Row],[P Piso]]*20%)</f>
        <v>76642.872319999995</v>
      </c>
      <c r="I399" s="434">
        <f>IF((1-(Tabla1[[#This Row],[P Piso-20%]]/Tabla1[[#This Row],[P Oferta]]))=1,0,1-(Tabla1[[#This Row],[P Piso-20%]]/Tabla1[[#This Row],[P Oferta]]))</f>
        <v>0.83566576612251309</v>
      </c>
      <c r="J399" s="439">
        <f>Tabla1[[#This Row],[P Piso]]-(Tabla1[[#This Row],[P Piso]]*25%)</f>
        <v>71852.692800000004</v>
      </c>
      <c r="K399" s="440">
        <f>IF((1-(Tabla1[[#This Row],[P Piso-25%]]/Tabla1[[#This Row],[P Oferta]]))=1,0,1-(Tabla1[[#This Row],[P Piso-25%]]/Tabla1[[#This Row],[P Oferta]]))</f>
        <v>0.84593665573985599</v>
      </c>
      <c r="L399" s="379"/>
      <c r="M399" s="469">
        <v>395</v>
      </c>
      <c r="N399" s="473"/>
      <c r="O399" s="473"/>
      <c r="P399" s="474"/>
      <c r="Q399" s="381"/>
      <c r="R399" s="380"/>
      <c r="S399" s="381"/>
      <c r="T399" s="106"/>
      <c r="W399" s="377">
        <v>0</v>
      </c>
    </row>
    <row r="400" spans="1:23">
      <c r="A400" s="477">
        <v>395</v>
      </c>
      <c r="B400" s="478" t="s">
        <v>356</v>
      </c>
      <c r="C400" s="378" t="s">
        <v>365</v>
      </c>
      <c r="D400" s="387">
        <f>VLOOKUP(A400,'Evento Cotiz'!$W$49:$Y$455,3,FALSE)</f>
        <v>0</v>
      </c>
      <c r="E400" s="422">
        <f>VLOOKUP(A400,'Evento Cotiz'!$A$49:$T$459,12,FALSE)</f>
        <v>10049203.024</v>
      </c>
      <c r="F400" s="427">
        <f>VLOOKUP(A400,'Evento Cotiz'!$A$49:$T$459,13,FALSE)</f>
        <v>112449.12</v>
      </c>
      <c r="G400" s="428">
        <f>Tabla1[[#This Row],[Cantidad]]*Tabla1[[#This Row],[P Piso]]</f>
        <v>0</v>
      </c>
      <c r="H400" s="433">
        <f>Tabla1[[#This Row],[P Piso]]-(Tabla1[[#This Row],[P Piso]]*20%)</f>
        <v>89959.296000000002</v>
      </c>
      <c r="I400" s="434">
        <f>IF((1-(Tabla1[[#This Row],[P Piso-20%]]/Tabla1[[#This Row],[P Oferta]]))=1,0,1-(Tabla1[[#This Row],[P Piso-20%]]/Tabla1[[#This Row],[P Oferta]]))</f>
        <v>0.99104811637448709</v>
      </c>
      <c r="J400" s="439">
        <f>Tabla1[[#This Row],[P Piso]]-(Tabla1[[#This Row],[P Piso]]*25%)</f>
        <v>84336.84</v>
      </c>
      <c r="K400" s="440">
        <f>IF((1-(Tabla1[[#This Row],[P Piso-25%]]/Tabla1[[#This Row],[P Oferta]]))=1,0,1-(Tabla1[[#This Row],[P Piso-25%]]/Tabla1[[#This Row],[P Oferta]]))</f>
        <v>0.9916076091010817</v>
      </c>
      <c r="L400" s="379"/>
      <c r="M400" s="469">
        <v>396</v>
      </c>
      <c r="N400" s="473"/>
      <c r="O400" s="473"/>
      <c r="P400" s="474"/>
      <c r="Q400" s="381"/>
      <c r="R400" s="380"/>
      <c r="S400" s="381"/>
      <c r="T400" s="106"/>
      <c r="W400" s="377">
        <v>0</v>
      </c>
    </row>
    <row r="401" spans="1:23">
      <c r="A401" s="477">
        <v>396</v>
      </c>
      <c r="B401" s="478" t="s">
        <v>357</v>
      </c>
      <c r="C401" s="378" t="s">
        <v>366</v>
      </c>
      <c r="D401" s="387">
        <f>VLOOKUP(A401,'Evento Cotiz'!$W$49:$Y$455,3,FALSE)</f>
        <v>0</v>
      </c>
      <c r="E401" s="422">
        <f>VLOOKUP(A401,'Evento Cotiz'!$A$49:$T$459,12,FALSE)</f>
        <v>211955.11679999999</v>
      </c>
      <c r="F401" s="427">
        <f>VLOOKUP(A401,'Evento Cotiz'!$A$49:$T$459,13,FALSE)</f>
        <v>53130.843200000003</v>
      </c>
      <c r="G401" s="428">
        <f>Tabla1[[#This Row],[Cantidad]]*Tabla1[[#This Row],[P Piso]]</f>
        <v>0</v>
      </c>
      <c r="H401" s="433">
        <f>Tabla1[[#This Row],[P Piso]]-(Tabla1[[#This Row],[P Piso]]*20%)</f>
        <v>42504.674559999999</v>
      </c>
      <c r="I401" s="434">
        <f>IF((1-(Tabla1[[#This Row],[P Piso-20%]]/Tabla1[[#This Row],[P Oferta]]))=1,0,1-(Tabla1[[#This Row],[P Piso-20%]]/Tabla1[[#This Row],[P Oferta]]))</f>
        <v>0.79946379591247496</v>
      </c>
      <c r="J401" s="439">
        <f>Tabla1[[#This Row],[P Piso]]-(Tabla1[[#This Row],[P Piso]]*25%)</f>
        <v>39848.132400000002</v>
      </c>
      <c r="K401" s="440">
        <f>IF((1-(Tabla1[[#This Row],[P Piso-25%]]/Tabla1[[#This Row],[P Oferta]]))=1,0,1-(Tabla1[[#This Row],[P Piso-25%]]/Tabla1[[#This Row],[P Oferta]]))</f>
        <v>0.81199730866794528</v>
      </c>
      <c r="L401" s="379"/>
      <c r="M401" s="469">
        <v>397</v>
      </c>
      <c r="N401" s="473"/>
      <c r="O401" s="473"/>
      <c r="P401" s="474"/>
      <c r="Q401" s="381"/>
      <c r="R401" s="380"/>
      <c r="S401" s="381"/>
      <c r="T401" s="106"/>
      <c r="W401" s="377">
        <v>0</v>
      </c>
    </row>
    <row r="402" spans="1:23">
      <c r="A402" s="477">
        <v>397</v>
      </c>
      <c r="B402" s="478" t="s">
        <v>357</v>
      </c>
      <c r="C402" s="378" t="s">
        <v>365</v>
      </c>
      <c r="D402" s="387">
        <f>VLOOKUP(A402,'Evento Cotiz'!$W$49:$Y$455,3,FALSE)</f>
        <v>0</v>
      </c>
      <c r="E402" s="422">
        <f>VLOOKUP(A402,'Evento Cotiz'!$A$49:$T$459,12,FALSE)</f>
        <v>4322880.7551999995</v>
      </c>
      <c r="F402" s="427">
        <f>VLOOKUP(A402,'Evento Cotiz'!$A$49:$T$459,13,FALSE)</f>
        <v>63856.675199999998</v>
      </c>
      <c r="G402" s="428">
        <f>Tabla1[[#This Row],[Cantidad]]*Tabla1[[#This Row],[P Piso]]</f>
        <v>0</v>
      </c>
      <c r="H402" s="433">
        <f>Tabla1[[#This Row],[P Piso]]-(Tabla1[[#This Row],[P Piso]]*20%)</f>
        <v>51085.34016</v>
      </c>
      <c r="I402" s="434">
        <f>IF((1-(Tabla1[[#This Row],[P Piso-20%]]/Tabla1[[#This Row],[P Oferta]]))=1,0,1-(Tabla1[[#This Row],[P Piso-20%]]/Tabla1[[#This Row],[P Oferta]]))</f>
        <v>0.98818257013021948</v>
      </c>
      <c r="J402" s="439">
        <f>Tabla1[[#This Row],[P Piso]]-(Tabla1[[#This Row],[P Piso]]*25%)</f>
        <v>47892.506399999998</v>
      </c>
      <c r="K402" s="440">
        <f>IF((1-(Tabla1[[#This Row],[P Piso-25%]]/Tabla1[[#This Row],[P Oferta]]))=1,0,1-(Tabla1[[#This Row],[P Piso-25%]]/Tabla1[[#This Row],[P Oferta]]))</f>
        <v>0.9889211594970807</v>
      </c>
      <c r="L402" s="379"/>
      <c r="M402" s="469">
        <v>398</v>
      </c>
      <c r="N402" s="473"/>
      <c r="O402" s="473"/>
      <c r="P402" s="474"/>
      <c r="Q402" s="381"/>
      <c r="R402" s="380"/>
      <c r="S402" s="381"/>
      <c r="T402" s="106"/>
      <c r="W402" s="377">
        <v>0</v>
      </c>
    </row>
    <row r="403" spans="1:23">
      <c r="A403" s="477">
        <v>398</v>
      </c>
      <c r="B403" s="478" t="s">
        <v>358</v>
      </c>
      <c r="C403" s="378" t="s">
        <v>366</v>
      </c>
      <c r="D403" s="387">
        <f>VLOOKUP(A403,'Evento Cotiz'!$W$49:$Y$455,3,FALSE)</f>
        <v>0</v>
      </c>
      <c r="E403" s="422">
        <f>VLOOKUP(A403,'Evento Cotiz'!$A$49:$T$459,12,FALSE)</f>
        <v>33512.897599999997</v>
      </c>
      <c r="F403" s="427">
        <f>VLOOKUP(A403,'Evento Cotiz'!$A$49:$T$459,13,FALSE)</f>
        <v>3083.8816000000002</v>
      </c>
      <c r="G403" s="428">
        <f>Tabla1[[#This Row],[Cantidad]]*Tabla1[[#This Row],[P Piso]]</f>
        <v>0</v>
      </c>
      <c r="H403" s="433">
        <f>Tabla1[[#This Row],[P Piso]]-(Tabla1[[#This Row],[P Piso]]*20%)</f>
        <v>2467.1052800000002</v>
      </c>
      <c r="I403" s="434">
        <f>IF((1-(Tabla1[[#This Row],[P Piso-20%]]/Tabla1[[#This Row],[P Oferta]]))=1,0,1-(Tabla1[[#This Row],[P Piso-20%]]/Tabla1[[#This Row],[P Oferta]]))</f>
        <v>0.92638340887599047</v>
      </c>
      <c r="J403" s="439">
        <f>Tabla1[[#This Row],[P Piso]]-(Tabla1[[#This Row],[P Piso]]*25%)</f>
        <v>2312.9112</v>
      </c>
      <c r="K403" s="440">
        <f>IF((1-(Tabla1[[#This Row],[P Piso-25%]]/Tabla1[[#This Row],[P Oferta]]))=1,0,1-(Tabla1[[#This Row],[P Piso-25%]]/Tabla1[[#This Row],[P Oferta]]))</f>
        <v>0.93098444582124107</v>
      </c>
      <c r="L403" s="379"/>
      <c r="M403" s="469">
        <v>399</v>
      </c>
      <c r="N403" s="473"/>
      <c r="O403" s="473"/>
      <c r="P403" s="474"/>
      <c r="Q403" s="381"/>
      <c r="R403" s="380"/>
      <c r="S403" s="381"/>
      <c r="T403" s="106"/>
      <c r="W403" s="377">
        <v>0</v>
      </c>
    </row>
    <row r="404" spans="1:23">
      <c r="A404" s="477">
        <v>399</v>
      </c>
      <c r="B404" s="478" t="s">
        <v>358</v>
      </c>
      <c r="C404" s="378" t="s">
        <v>365</v>
      </c>
      <c r="D404" s="387">
        <f>VLOOKUP(A404,'Evento Cotiz'!$W$49:$Y$455,3,FALSE)</f>
        <v>0</v>
      </c>
      <c r="E404" s="422">
        <f>VLOOKUP(A404,'Evento Cotiz'!$A$49:$T$459,12,FALSE)</f>
        <v>6814837.4000000004</v>
      </c>
      <c r="F404" s="427">
        <f>VLOOKUP(A404,'Evento Cotiz'!$A$49:$T$459,13,FALSE)</f>
        <v>13888.395199999999</v>
      </c>
      <c r="G404" s="428">
        <f>Tabla1[[#This Row],[Cantidad]]*Tabla1[[#This Row],[P Piso]]</f>
        <v>0</v>
      </c>
      <c r="H404" s="433">
        <f>Tabla1[[#This Row],[P Piso]]-(Tabla1[[#This Row],[P Piso]]*20%)</f>
        <v>11110.71616</v>
      </c>
      <c r="I404" s="434">
        <f>IF((1-(Tabla1[[#This Row],[P Piso-20%]]/Tabla1[[#This Row],[P Oferta]]))=1,0,1-(Tabla1[[#This Row],[P Piso-20%]]/Tabla1[[#This Row],[P Oferta]]))</f>
        <v>0.99836962857543743</v>
      </c>
      <c r="J404" s="439">
        <f>Tabla1[[#This Row],[P Piso]]-(Tabla1[[#This Row],[P Piso]]*25%)</f>
        <v>10416.296399999999</v>
      </c>
      <c r="K404" s="440">
        <f>IF((1-(Tabla1[[#This Row],[P Piso-25%]]/Tabla1[[#This Row],[P Oferta]]))=1,0,1-(Tabla1[[#This Row],[P Piso-25%]]/Tabla1[[#This Row],[P Oferta]]))</f>
        <v>0.9984715267894726</v>
      </c>
      <c r="L404" s="379"/>
      <c r="M404" s="469">
        <v>400</v>
      </c>
      <c r="N404" s="473"/>
      <c r="O404" s="473"/>
      <c r="P404" s="474"/>
      <c r="Q404" s="381"/>
      <c r="R404" s="380"/>
      <c r="S404" s="381"/>
      <c r="T404" s="106"/>
      <c r="W404" s="377">
        <v>0</v>
      </c>
    </row>
    <row r="405" spans="1:23">
      <c r="A405" s="477">
        <v>400</v>
      </c>
      <c r="B405" s="478" t="s">
        <v>359</v>
      </c>
      <c r="C405" s="378" t="s">
        <v>365</v>
      </c>
      <c r="D405" s="387">
        <f>VLOOKUP(A405,'Evento Cotiz'!$W$49:$Y$455,3,FALSE)</f>
        <v>0</v>
      </c>
      <c r="E405" s="422">
        <f>VLOOKUP(A405,'Evento Cotiz'!$A$49:$T$459,12,FALSE)</f>
        <v>1570041.0592</v>
      </c>
      <c r="F405" s="427">
        <f>VLOOKUP(A405,'Evento Cotiz'!$A$49:$T$459,13,FALSE)</f>
        <v>4105.6495999999997</v>
      </c>
      <c r="G405" s="428">
        <f>Tabla1[[#This Row],[Cantidad]]*Tabla1[[#This Row],[P Piso]]</f>
        <v>0</v>
      </c>
      <c r="H405" s="433">
        <f>Tabla1[[#This Row],[P Piso]]-(Tabla1[[#This Row],[P Piso]]*20%)</f>
        <v>3284.5196799999999</v>
      </c>
      <c r="I405" s="434">
        <f>IF((1-(Tabla1[[#This Row],[P Piso-20%]]/Tabla1[[#This Row],[P Oferta]]))=1,0,1-(Tabla1[[#This Row],[P Piso-20%]]/Tabla1[[#This Row],[P Oferta]]))</f>
        <v>0.99790800395903434</v>
      </c>
      <c r="J405" s="439">
        <f>Tabla1[[#This Row],[P Piso]]-(Tabla1[[#This Row],[P Piso]]*25%)</f>
        <v>3079.2371999999996</v>
      </c>
      <c r="K405" s="440">
        <f>IF((1-(Tabla1[[#This Row],[P Piso-25%]]/Tabla1[[#This Row],[P Oferta]]))=1,0,1-(Tabla1[[#This Row],[P Piso-25%]]/Tabla1[[#This Row],[P Oferta]]))</f>
        <v>0.99803875371159467</v>
      </c>
      <c r="L405" s="379"/>
      <c r="M405" s="469">
        <v>401</v>
      </c>
      <c r="N405" s="473"/>
      <c r="O405" s="473"/>
      <c r="P405" s="474"/>
      <c r="Q405" s="381"/>
      <c r="R405" s="380"/>
      <c r="S405" s="381"/>
      <c r="T405" s="106"/>
      <c r="W405" s="377">
        <v>0</v>
      </c>
    </row>
    <row r="406" spans="1:23">
      <c r="A406" s="477">
        <v>401</v>
      </c>
      <c r="B406" s="478" t="s">
        <v>360</v>
      </c>
      <c r="C406" s="378" t="s">
        <v>365</v>
      </c>
      <c r="D406" s="387">
        <f>VLOOKUP(A406,'Evento Cotiz'!$W$49:$Y$455,3,FALSE)</f>
        <v>0</v>
      </c>
      <c r="E406" s="422">
        <f>VLOOKUP(A406,'Evento Cotiz'!$A$49:$T$459,12,FALSE)</f>
        <v>6982783.2752</v>
      </c>
      <c r="F406" s="427">
        <f>VLOOKUP(A406,'Evento Cotiz'!$A$49:$T$459,13,FALSE)</f>
        <v>82811.291200000007</v>
      </c>
      <c r="G406" s="428">
        <f>Tabla1[[#This Row],[Cantidad]]*Tabla1[[#This Row],[P Piso]]</f>
        <v>0</v>
      </c>
      <c r="H406" s="433">
        <f>Tabla1[[#This Row],[P Piso]]-(Tabla1[[#This Row],[P Piso]]*20%)</f>
        <v>66249.032960000011</v>
      </c>
      <c r="I406" s="434">
        <f>IF((1-(Tabla1[[#This Row],[P Piso-20%]]/Tabla1[[#This Row],[P Oferta]]))=1,0,1-(Tabla1[[#This Row],[P Piso-20%]]/Tabla1[[#This Row],[P Oferta]]))</f>
        <v>0.99051251766680348</v>
      </c>
      <c r="J406" s="439">
        <f>Tabla1[[#This Row],[P Piso]]-(Tabla1[[#This Row],[P Piso]]*25%)</f>
        <v>62108.468400000005</v>
      </c>
      <c r="K406" s="440">
        <f>IF((1-(Tabla1[[#This Row],[P Piso-25%]]/Tabla1[[#This Row],[P Oferta]]))=1,0,1-(Tabla1[[#This Row],[P Piso-25%]]/Tabla1[[#This Row],[P Oferta]]))</f>
        <v>0.99110548531262832</v>
      </c>
      <c r="L406" s="379"/>
      <c r="M406" s="469">
        <v>402</v>
      </c>
      <c r="N406" s="473"/>
      <c r="O406" s="473"/>
      <c r="P406" s="474"/>
      <c r="Q406" s="381"/>
      <c r="R406" s="380"/>
      <c r="S406" s="381"/>
      <c r="T406" s="106"/>
      <c r="W406" s="377">
        <v>0</v>
      </c>
    </row>
    <row r="407" spans="1:23">
      <c r="A407" s="477">
        <v>402</v>
      </c>
      <c r="B407" s="478" t="s">
        <v>361</v>
      </c>
      <c r="C407" s="378" t="s">
        <v>366</v>
      </c>
      <c r="D407" s="387">
        <f>VLOOKUP(A407,'Evento Cotiz'!$W$49:$Y$455,3,FALSE)</f>
        <v>0</v>
      </c>
      <c r="E407" s="422">
        <f>VLOOKUP(A407,'Evento Cotiz'!$A$49:$T$459,12,FALSE)</f>
        <v>314594.17119999998</v>
      </c>
      <c r="F407" s="427">
        <f>VLOOKUP(A407,'Evento Cotiz'!$A$49:$T$459,13,FALSE)</f>
        <v>72438.433600000004</v>
      </c>
      <c r="G407" s="428">
        <f>Tabla1[[#This Row],[Cantidad]]*Tabla1[[#This Row],[P Piso]]</f>
        <v>0</v>
      </c>
      <c r="H407" s="433">
        <f>Tabla1[[#This Row],[P Piso]]-(Tabla1[[#This Row],[P Piso]]*20%)</f>
        <v>57950.746880000006</v>
      </c>
      <c r="I407" s="434">
        <f>IF((1-(Tabla1[[#This Row],[P Piso-20%]]/Tabla1[[#This Row],[P Oferta]]))=1,0,1-(Tabla1[[#This Row],[P Piso-20%]]/Tabla1[[#This Row],[P Oferta]]))</f>
        <v>0.81579205152164624</v>
      </c>
      <c r="J407" s="439">
        <f>Tabla1[[#This Row],[P Piso]]-(Tabla1[[#This Row],[P Piso]]*25%)</f>
        <v>54328.825200000007</v>
      </c>
      <c r="K407" s="440">
        <f>IF((1-(Tabla1[[#This Row],[P Piso-25%]]/Tabla1[[#This Row],[P Oferta]]))=1,0,1-(Tabla1[[#This Row],[P Piso-25%]]/Tabla1[[#This Row],[P Oferta]]))</f>
        <v>0.82730504830154339</v>
      </c>
      <c r="L407" s="379"/>
      <c r="M407" s="469">
        <v>403</v>
      </c>
      <c r="N407" s="473"/>
      <c r="O407" s="473"/>
      <c r="P407" s="474"/>
      <c r="Q407" s="381"/>
      <c r="R407" s="380"/>
      <c r="S407" s="381"/>
      <c r="T407" s="106"/>
      <c r="W407" s="377">
        <v>0</v>
      </c>
    </row>
    <row r="408" spans="1:23">
      <c r="A408" s="477">
        <v>403</v>
      </c>
      <c r="B408" s="478" t="s">
        <v>361</v>
      </c>
      <c r="C408" s="378" t="s">
        <v>365</v>
      </c>
      <c r="D408" s="387">
        <f>VLOOKUP(A408,'Evento Cotiz'!$W$49:$Y$455,3,FALSE)</f>
        <v>0</v>
      </c>
      <c r="E408" s="422">
        <f>VLOOKUP(A408,'Evento Cotiz'!$A$49:$T$459,12,FALSE)</f>
        <v>8248812.8383999998</v>
      </c>
      <c r="F408" s="427">
        <f>VLOOKUP(A408,'Evento Cotiz'!$A$49:$T$459,13,FALSE)</f>
        <v>140005.1648</v>
      </c>
      <c r="G408" s="428">
        <f>Tabla1[[#This Row],[Cantidad]]*Tabla1[[#This Row],[P Piso]]</f>
        <v>0</v>
      </c>
      <c r="H408" s="433">
        <f>Tabla1[[#This Row],[P Piso]]-(Tabla1[[#This Row],[P Piso]]*20%)</f>
        <v>112004.13184</v>
      </c>
      <c r="I408" s="434">
        <f>IF((1-(Tabla1[[#This Row],[P Piso-20%]]/Tabla1[[#This Row],[P Oferta]]))=1,0,1-(Tabla1[[#This Row],[P Piso-20%]]/Tabla1[[#This Row],[P Oferta]]))</f>
        <v>0.9864217877124577</v>
      </c>
      <c r="J408" s="439">
        <f>Tabla1[[#This Row],[P Piso]]-(Tabla1[[#This Row],[P Piso]]*25%)</f>
        <v>105003.87359999999</v>
      </c>
      <c r="K408" s="440">
        <f>IF((1-(Tabla1[[#This Row],[P Piso-25%]]/Tabla1[[#This Row],[P Oferta]]))=1,0,1-(Tabla1[[#This Row],[P Piso-25%]]/Tabla1[[#This Row],[P Oferta]]))</f>
        <v>0.98727042598042902</v>
      </c>
      <c r="L408" s="379"/>
      <c r="M408" s="469">
        <v>404</v>
      </c>
      <c r="N408" s="473"/>
      <c r="O408" s="473"/>
      <c r="P408" s="474"/>
      <c r="Q408" s="381"/>
      <c r="R408" s="380"/>
      <c r="S408" s="381"/>
      <c r="T408" s="106"/>
      <c r="W408" s="377">
        <v>0</v>
      </c>
    </row>
    <row r="409" spans="1:23">
      <c r="A409" s="477">
        <v>405</v>
      </c>
      <c r="B409" s="478" t="s">
        <v>362</v>
      </c>
      <c r="C409" s="378" t="s">
        <v>365</v>
      </c>
      <c r="D409" s="387">
        <f>VLOOKUP(A409,'Evento Cotiz'!$W$49:$Y$455,3,FALSE)</f>
        <v>0</v>
      </c>
      <c r="E409" s="422">
        <f>VLOOKUP(A409,'Evento Cotiz'!$A$49:$T$459,12,FALSE)</f>
        <v>5050295.4255999997</v>
      </c>
      <c r="F409" s="427">
        <f>VLOOKUP(A409,'Evento Cotiz'!$A$49:$T$459,13,FALSE)</f>
        <v>82999.252800000002</v>
      </c>
      <c r="G409" s="428">
        <f>Tabla1[[#This Row],[Cantidad]]*Tabla1[[#This Row],[P Piso]]</f>
        <v>0</v>
      </c>
      <c r="H409" s="433">
        <f>Tabla1[[#This Row],[P Piso]]-(Tabla1[[#This Row],[P Piso]]*20%)</f>
        <v>66399.402239999996</v>
      </c>
      <c r="I409" s="434">
        <f>IF((1-(Tabla1[[#This Row],[P Piso-20%]]/Tabla1[[#This Row],[P Oferta]]))=1,0,1-(Tabla1[[#This Row],[P Piso-20%]]/Tabla1[[#This Row],[P Oferta]]))</f>
        <v>0.98685237265459347</v>
      </c>
      <c r="J409" s="439">
        <f>Tabla1[[#This Row],[P Piso]]-(Tabla1[[#This Row],[P Piso]]*25%)</f>
        <v>62249.439599999998</v>
      </c>
      <c r="K409" s="440">
        <f>IF((1-(Tabla1[[#This Row],[P Piso-25%]]/Tabla1[[#This Row],[P Oferta]]))=1,0,1-(Tabla1[[#This Row],[P Piso-25%]]/Tabla1[[#This Row],[P Oferta]]))</f>
        <v>0.98767409936368145</v>
      </c>
      <c r="L409" s="379"/>
      <c r="M409" s="469">
        <v>405</v>
      </c>
      <c r="N409" s="473"/>
      <c r="O409" s="473"/>
      <c r="P409" s="474"/>
      <c r="Q409" s="381"/>
      <c r="R409" s="380"/>
      <c r="S409" s="381"/>
      <c r="T409" s="106"/>
      <c r="W409" s="377">
        <v>0</v>
      </c>
    </row>
    <row r="410" spans="1:23">
      <c r="A410" s="477">
        <v>406</v>
      </c>
      <c r="B410" s="478" t="s">
        <v>363</v>
      </c>
      <c r="C410" s="378" t="s">
        <v>366</v>
      </c>
      <c r="D410" s="387">
        <f>VLOOKUP(A410,'Evento Cotiz'!$W$49:$Y$455,3,FALSE)</f>
        <v>0</v>
      </c>
      <c r="E410" s="422">
        <f>VLOOKUP(A410,'Evento Cotiz'!$A$49:$T$459,12,FALSE)</f>
        <v>156290.0704</v>
      </c>
      <c r="F410" s="427">
        <f>VLOOKUP(A410,'Evento Cotiz'!$A$49:$T$459,13,FALSE)</f>
        <v>44530.5072</v>
      </c>
      <c r="G410" s="428">
        <f>Tabla1[[#This Row],[Cantidad]]*Tabla1[[#This Row],[P Piso]]</f>
        <v>0</v>
      </c>
      <c r="H410" s="433">
        <f>Tabla1[[#This Row],[P Piso]]-(Tabla1[[#This Row],[P Piso]]*20%)</f>
        <v>35624.405760000001</v>
      </c>
      <c r="I410" s="434">
        <f>IF((1-(Tabla1[[#This Row],[P Piso-20%]]/Tabla1[[#This Row],[P Oferta]]))=1,0,1-(Tabla1[[#This Row],[P Piso-20%]]/Tabla1[[#This Row],[P Oferta]]))</f>
        <v>0.7720622578976073</v>
      </c>
      <c r="J410" s="439">
        <f>Tabla1[[#This Row],[P Piso]]-(Tabla1[[#This Row],[P Piso]]*25%)</f>
        <v>33397.880400000002</v>
      </c>
      <c r="K410" s="440">
        <f>IF((1-(Tabla1[[#This Row],[P Piso-25%]]/Tabla1[[#This Row],[P Oferta]]))=1,0,1-(Tabla1[[#This Row],[P Piso-25%]]/Tabla1[[#This Row],[P Oferta]]))</f>
        <v>0.78630836677900684</v>
      </c>
      <c r="L410" s="379"/>
      <c r="M410" s="469">
        <v>406</v>
      </c>
      <c r="N410" s="473"/>
      <c r="O410" s="473"/>
      <c r="P410" s="474"/>
      <c r="Q410" s="381"/>
      <c r="R410" s="380"/>
      <c r="S410" s="381"/>
      <c r="T410" s="106"/>
      <c r="W410" s="377">
        <v>0</v>
      </c>
    </row>
    <row r="411" spans="1:23" ht="14.25" thickBot="1">
      <c r="A411" s="479">
        <v>407</v>
      </c>
      <c r="B411" s="480" t="s">
        <v>363</v>
      </c>
      <c r="C411" s="420" t="s">
        <v>365</v>
      </c>
      <c r="D411" s="425">
        <f>VLOOKUP(A411,'Evento Cotiz'!$W$49:$Y$455,3,FALSE)</f>
        <v>0</v>
      </c>
      <c r="E411" s="423">
        <f>VLOOKUP(A411,'Evento Cotiz'!$A$49:$T$459,12,FALSE)</f>
        <v>2815129.2960000001</v>
      </c>
      <c r="F411" s="429">
        <f>VLOOKUP(A411,'Evento Cotiz'!$A$49:$T$459,13,FALSE)</f>
        <v>71989.292799999996</v>
      </c>
      <c r="G411" s="430">
        <f>Tabla1[[#This Row],[Cantidad]]*Tabla1[[#This Row],[P Piso]]</f>
        <v>0</v>
      </c>
      <c r="H411" s="435">
        <f>Tabla1[[#This Row],[P Piso]]-(Tabla1[[#This Row],[P Piso]]*20%)</f>
        <v>57591.434239999995</v>
      </c>
      <c r="I411" s="436">
        <f>IF((1-(Tabla1[[#This Row],[P Piso-20%]]/Tabla1[[#This Row],[P Oferta]]))=1,0,1-(Tabla1[[#This Row],[P Piso-20%]]/Tabla1[[#This Row],[P Oferta]]))</f>
        <v>0.97954217082610329</v>
      </c>
      <c r="J411" s="441">
        <f>Tabla1[[#This Row],[P Piso]]-(Tabla1[[#This Row],[P Piso]]*25%)</f>
        <v>53991.969599999997</v>
      </c>
      <c r="K411" s="440">
        <f>IF((1-(Tabla1[[#This Row],[P Piso-25%]]/Tabla1[[#This Row],[P Oferta]]))=1,0,1-(Tabla1[[#This Row],[P Piso-25%]]/Tabla1[[#This Row],[P Oferta]]))</f>
        <v>0.98082078514947191</v>
      </c>
      <c r="L411" s="379"/>
      <c r="M411" s="469">
        <v>407</v>
      </c>
      <c r="N411" s="473"/>
      <c r="O411" s="473"/>
      <c r="P411" s="474"/>
      <c r="Q411" s="381"/>
      <c r="R411" s="380"/>
      <c r="S411" s="381"/>
      <c r="T411" s="106"/>
      <c r="W411" s="377">
        <v>0</v>
      </c>
    </row>
    <row r="412" spans="1:23">
      <c r="Q412" s="382"/>
      <c r="S412" s="382"/>
    </row>
  </sheetData>
  <mergeCells count="2">
    <mergeCell ref="L1:T2"/>
    <mergeCell ref="A3:B3"/>
  </mergeCells>
  <conditionalFormatting sqref="D5:F411">
    <cfRule type="cellIs" dxfId="2" priority="1" operator="equal">
      <formula>0</formula>
    </cfRule>
  </conditionalFormatting>
  <conditionalFormatting sqref="W5:W411">
    <cfRule type="cellIs" dxfId="1" priority="2" operator="equal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P408"/>
  <sheetViews>
    <sheetView topLeftCell="A394" workbookViewId="0">
      <selection activeCell="I4" sqref="I4:I408"/>
    </sheetView>
  </sheetViews>
  <sheetFormatPr baseColWidth="10" defaultRowHeight="15"/>
  <cols>
    <col min="8" max="8" width="11.7109375" style="443" bestFit="1" customWidth="1"/>
    <col min="9" max="9" width="13.42578125" style="443" customWidth="1"/>
  </cols>
  <sheetData>
    <row r="1" spans="1:16" ht="39" thickBot="1">
      <c r="A1" s="459" t="s">
        <v>1066</v>
      </c>
      <c r="B1" s="459" t="s">
        <v>1067</v>
      </c>
      <c r="F1" s="63" t="s">
        <v>445</v>
      </c>
      <c r="G1" s="63" t="s">
        <v>446</v>
      </c>
      <c r="I1" s="449" t="s">
        <v>1075</v>
      </c>
      <c r="L1" s="486" t="s">
        <v>1076</v>
      </c>
      <c r="M1" s="488" t="s">
        <v>1077</v>
      </c>
      <c r="N1" s="490" t="s">
        <v>1078</v>
      </c>
      <c r="P1" s="497" t="s">
        <v>1081</v>
      </c>
    </row>
    <row r="2" spans="1:16" ht="24">
      <c r="A2" s="67">
        <v>170</v>
      </c>
      <c r="B2" s="456">
        <v>0.7422432914953474</v>
      </c>
      <c r="F2" s="442">
        <v>1</v>
      </c>
      <c r="G2" s="418" t="s">
        <v>21</v>
      </c>
      <c r="H2" s="457" t="e">
        <f>VLOOKUP(F2,$A$2:$B$431,2,0)</f>
        <v>#N/A</v>
      </c>
      <c r="I2" s="458"/>
      <c r="L2" s="487">
        <v>0.56399719570727491</v>
      </c>
      <c r="M2" s="485">
        <v>0.45499649463409375</v>
      </c>
      <c r="N2" s="489">
        <f>1-('Evento Cotiz'!I49/'Evento Cotiz'!L49)</f>
        <v>0.40743020198064106</v>
      </c>
      <c r="O2" s="511">
        <f>+'Evento Cotiz'!L49-'Evento Cotiz'!I49</f>
        <v>7957.7695999999978</v>
      </c>
      <c r="P2" s="496"/>
    </row>
    <row r="3" spans="1:16" ht="24">
      <c r="A3" s="67">
        <v>146</v>
      </c>
      <c r="B3" s="456">
        <v>0.54996720475166716</v>
      </c>
      <c r="F3" s="67">
        <v>2</v>
      </c>
      <c r="G3" s="74" t="s">
        <v>22</v>
      </c>
      <c r="H3" s="457" t="e">
        <f t="shared" ref="H3:H66" si="0">VLOOKUP(F3,$A$2:$B$431,2,0)</f>
        <v>#N/A</v>
      </c>
      <c r="I3" s="458"/>
      <c r="L3" s="487">
        <v>0.59529411764705875</v>
      </c>
      <c r="M3" s="485">
        <v>0.49411764705882355</v>
      </c>
      <c r="N3" s="489">
        <f>1-('Evento Cotiz'!I50/'Evento Cotiz'!L50)</f>
        <v>0.35378167269956184</v>
      </c>
      <c r="O3" s="511">
        <f>+'Evento Cotiz'!L50-'Evento Cotiz'!I50</f>
        <v>2029.3296000000005</v>
      </c>
      <c r="P3" s="496"/>
    </row>
    <row r="4" spans="1:16" ht="24">
      <c r="A4" s="67">
        <v>193</v>
      </c>
      <c r="B4" s="456">
        <v>0.69314071650017228</v>
      </c>
      <c r="F4" s="67">
        <v>3</v>
      </c>
      <c r="G4" s="74" t="s">
        <v>23</v>
      </c>
      <c r="H4" s="457">
        <f t="shared" si="0"/>
        <v>0.65177460817646571</v>
      </c>
      <c r="I4" s="458">
        <v>0.65177460817646571</v>
      </c>
      <c r="L4" s="487">
        <v>0.60712680577849121</v>
      </c>
      <c r="M4" s="485">
        <v>0.50890850722311398</v>
      </c>
      <c r="N4" s="489">
        <f>1-('Evento Cotiz'!I51/'Evento Cotiz'!L51)</f>
        <v>0.47159797661497638</v>
      </c>
      <c r="O4" s="511">
        <f>+'Evento Cotiz'!L51-'Evento Cotiz'!I51</f>
        <v>6214.7535999999991</v>
      </c>
      <c r="P4" s="496"/>
    </row>
    <row r="5" spans="1:16" ht="24">
      <c r="A5" s="67">
        <v>30</v>
      </c>
      <c r="B5" s="456">
        <v>0.63624173929700234</v>
      </c>
      <c r="F5" s="67">
        <v>4</v>
      </c>
      <c r="G5" s="74" t="s">
        <v>24</v>
      </c>
      <c r="H5" s="457" t="e">
        <f t="shared" si="0"/>
        <v>#N/A</v>
      </c>
      <c r="I5" s="458"/>
      <c r="L5" s="487">
        <v>0.67005783775767458</v>
      </c>
      <c r="M5" s="485">
        <v>0.58757229719709336</v>
      </c>
      <c r="N5" s="489">
        <f>1-('Evento Cotiz'!I52/'Evento Cotiz'!L52)</f>
        <v>0.5084850354828756</v>
      </c>
      <c r="O5" s="511">
        <f>+'Evento Cotiz'!L52-'Evento Cotiz'!I52</f>
        <v>7203.7375999999995</v>
      </c>
      <c r="P5" s="496"/>
    </row>
    <row r="6" spans="1:16" ht="24">
      <c r="A6" s="67">
        <v>3</v>
      </c>
      <c r="B6" s="456">
        <v>0.65177460817646571</v>
      </c>
      <c r="F6" s="67">
        <v>5</v>
      </c>
      <c r="G6" s="74" t="s">
        <v>25</v>
      </c>
      <c r="H6" s="457" t="e">
        <f t="shared" si="0"/>
        <v>#N/A</v>
      </c>
      <c r="I6" s="458"/>
      <c r="L6" s="487">
        <v>0.58826231181423827</v>
      </c>
      <c r="M6" s="485">
        <v>0.48532788976779795</v>
      </c>
      <c r="N6" s="489">
        <f>1-('Evento Cotiz'!I53/'Evento Cotiz'!L53)</f>
        <v>0.41066166622019828</v>
      </c>
      <c r="O6" s="511">
        <f>+'Evento Cotiz'!L53-'Evento Cotiz'!I53</f>
        <v>1675.2624000000001</v>
      </c>
      <c r="P6" s="496"/>
    </row>
    <row r="7" spans="1:16" ht="24">
      <c r="A7" s="67">
        <v>19</v>
      </c>
      <c r="B7" s="456">
        <v>0.65464835091019014</v>
      </c>
      <c r="F7" s="67">
        <v>6</v>
      </c>
      <c r="G7" s="74" t="s">
        <v>26</v>
      </c>
      <c r="H7" s="457" t="e">
        <f t="shared" si="0"/>
        <v>#N/A</v>
      </c>
      <c r="I7" s="458"/>
      <c r="L7" s="487">
        <v>0.66665262270907943</v>
      </c>
      <c r="M7" s="485">
        <v>0.58331577838634929</v>
      </c>
      <c r="N7" s="489">
        <f>1-('Evento Cotiz'!I54/'Evento Cotiz'!L54)</f>
        <v>0.51859956236323845</v>
      </c>
      <c r="O7" s="511">
        <f>+'Evento Cotiz'!L54-'Evento Cotiz'!I54</f>
        <v>2589.9359999999997</v>
      </c>
      <c r="P7" s="496"/>
    </row>
    <row r="8" spans="1:16" ht="24">
      <c r="A8" s="67">
        <v>12</v>
      </c>
      <c r="B8" s="456">
        <v>0.69179718608972651</v>
      </c>
      <c r="F8" s="67">
        <v>7</v>
      </c>
      <c r="G8" s="74" t="s">
        <v>27</v>
      </c>
      <c r="H8" s="457" t="e">
        <f t="shared" si="0"/>
        <v>#N/A</v>
      </c>
      <c r="I8" s="458"/>
      <c r="L8" s="487">
        <v>0.58359478359478367</v>
      </c>
      <c r="M8" s="485">
        <v>0.47949347949347954</v>
      </c>
      <c r="N8" s="489">
        <f>1-('Evento Cotiz'!I55/'Evento Cotiz'!L55)</f>
        <v>0.56866614048934494</v>
      </c>
      <c r="O8" s="511">
        <f>+'Evento Cotiz'!L55-'Evento Cotiz'!I55</f>
        <v>3149.4496000000004</v>
      </c>
      <c r="P8" s="496"/>
    </row>
    <row r="9" spans="1:16" ht="24">
      <c r="A9" s="67">
        <v>15</v>
      </c>
      <c r="B9" s="456">
        <v>0.70739812595336682</v>
      </c>
      <c r="F9" s="67">
        <v>8</v>
      </c>
      <c r="G9" s="74" t="s">
        <v>28</v>
      </c>
      <c r="H9" s="457" t="e">
        <f t="shared" si="0"/>
        <v>#N/A</v>
      </c>
      <c r="I9" s="458"/>
      <c r="L9" s="487">
        <v>0.66924449732302205</v>
      </c>
      <c r="M9" s="485">
        <v>0.5865556216537775</v>
      </c>
      <c r="N9" s="489">
        <f>1-('Evento Cotiz'!I56/'Evento Cotiz'!L56)</f>
        <v>0.65682196339434284</v>
      </c>
      <c r="O9" s="511">
        <f>+'Evento Cotiz'!L56-'Evento Cotiz'!I56</f>
        <v>3451.0623999999998</v>
      </c>
      <c r="P9" s="496"/>
    </row>
    <row r="10" spans="1:16" ht="24">
      <c r="A10" s="67">
        <v>22</v>
      </c>
      <c r="B10" s="456">
        <v>0.69104646769928224</v>
      </c>
      <c r="F10" s="67">
        <v>9</v>
      </c>
      <c r="G10" s="74" t="s">
        <v>29</v>
      </c>
      <c r="H10" s="457" t="e">
        <f t="shared" si="0"/>
        <v>#N/A</v>
      </c>
      <c r="I10" s="458"/>
      <c r="L10" s="487">
        <v>0.76301190486379156</v>
      </c>
      <c r="M10" s="485">
        <v>0.70376488107973945</v>
      </c>
      <c r="N10" s="489">
        <f>1-('Evento Cotiz'!I57/'Evento Cotiz'!L57)</f>
        <v>0.66724845256945442</v>
      </c>
      <c r="O10" s="511">
        <f>+'Evento Cotiz'!L57-'Evento Cotiz'!I57</f>
        <v>81048.604800000001</v>
      </c>
      <c r="P10" s="496"/>
    </row>
    <row r="11" spans="1:16" ht="48">
      <c r="A11" s="67">
        <v>48</v>
      </c>
      <c r="B11" s="456">
        <v>0.67744968703511377</v>
      </c>
      <c r="F11" s="67">
        <v>10</v>
      </c>
      <c r="G11" s="74" t="s">
        <v>30</v>
      </c>
      <c r="H11" s="457" t="e">
        <f t="shared" si="0"/>
        <v>#N/A</v>
      </c>
      <c r="I11" s="458"/>
      <c r="L11" s="487">
        <v>0.69998267798371727</v>
      </c>
      <c r="M11" s="485">
        <v>0.62497834747964665</v>
      </c>
      <c r="N11" s="489">
        <f>1-('Evento Cotiz'!I58/'Evento Cotiz'!L58)</f>
        <v>0.41560567479083299</v>
      </c>
      <c r="O11" s="511">
        <f>+'Evento Cotiz'!L58-'Evento Cotiz'!I58</f>
        <v>2497.0479999999998</v>
      </c>
      <c r="P11" s="496"/>
    </row>
    <row r="12" spans="1:16" ht="48">
      <c r="A12" s="67">
        <v>21</v>
      </c>
      <c r="B12" s="456">
        <v>0.63802832485063066</v>
      </c>
      <c r="F12" s="67">
        <v>11</v>
      </c>
      <c r="G12" s="74" t="s">
        <v>31</v>
      </c>
      <c r="H12" s="457" t="e">
        <f t="shared" si="0"/>
        <v>#N/A</v>
      </c>
      <c r="I12" s="458"/>
      <c r="L12" s="487">
        <v>0.90708559046587212</v>
      </c>
      <c r="M12" s="485">
        <v>0.88385698808234014</v>
      </c>
      <c r="N12" s="489">
        <f>1-('Evento Cotiz'!I59/'Evento Cotiz'!L59)</f>
        <v>0.3391403575503994</v>
      </c>
      <c r="O12" s="511">
        <f>+'Evento Cotiz'!L59-'Evento Cotiz'!I59</f>
        <v>4871.7024000000001</v>
      </c>
      <c r="P12" s="496"/>
    </row>
    <row r="13" spans="1:16" ht="48">
      <c r="A13" s="67">
        <v>144</v>
      </c>
      <c r="B13" s="456">
        <v>0.5871232876712329</v>
      </c>
      <c r="F13" s="67">
        <v>12</v>
      </c>
      <c r="G13" s="74" t="s">
        <v>32</v>
      </c>
      <c r="H13" s="457">
        <f t="shared" si="0"/>
        <v>0.69179718608972651</v>
      </c>
      <c r="I13" s="458">
        <v>0.69179718608972651</v>
      </c>
      <c r="L13" s="487">
        <v>0.65623571247142487</v>
      </c>
      <c r="M13" s="485">
        <v>0.57029464058928125</v>
      </c>
      <c r="N13" s="489">
        <f>1-('Evento Cotiz'!I60/'Evento Cotiz'!L60)</f>
        <v>0.40768516060525617</v>
      </c>
      <c r="O13" s="511">
        <f>+'Evento Cotiz'!L60-'Evento Cotiz'!I60</f>
        <v>6713.0703999999987</v>
      </c>
      <c r="P13" s="496"/>
    </row>
    <row r="14" spans="1:16" ht="48">
      <c r="A14" s="67">
        <v>27</v>
      </c>
      <c r="B14" s="456">
        <v>0.70504664970313824</v>
      </c>
      <c r="F14" s="67">
        <v>13</v>
      </c>
      <c r="G14" s="74" t="s">
        <v>33</v>
      </c>
      <c r="H14" s="457" t="e">
        <f t="shared" si="0"/>
        <v>#N/A</v>
      </c>
      <c r="I14" s="458"/>
      <c r="L14" s="487">
        <v>0.72496607546720626</v>
      </c>
      <c r="M14" s="485">
        <v>0.65620759433400788</v>
      </c>
      <c r="N14" s="489">
        <f>1-('Evento Cotiz'!I61/'Evento Cotiz'!L61)</f>
        <v>0.50179909305993686</v>
      </c>
      <c r="O14" s="511">
        <f>+'Evento Cotiz'!L61-'Evento Cotiz'!I61</f>
        <v>22250.500799999998</v>
      </c>
      <c r="P14" s="496"/>
    </row>
    <row r="15" spans="1:16" ht="60">
      <c r="A15" s="67">
        <v>60</v>
      </c>
      <c r="B15" s="456">
        <v>0.63528892809880899</v>
      </c>
      <c r="F15" s="67">
        <v>14</v>
      </c>
      <c r="G15" s="74" t="s">
        <v>34</v>
      </c>
      <c r="H15" s="457" t="e">
        <f t="shared" si="0"/>
        <v>#N/A</v>
      </c>
      <c r="I15" s="458"/>
      <c r="L15" s="487">
        <v>0.87429630610353504</v>
      </c>
      <c r="M15" s="485">
        <v>0.84287038262941882</v>
      </c>
      <c r="N15" s="489">
        <f>1-('Evento Cotiz'!I62/'Evento Cotiz'!L62)</f>
        <v>0.43962410600432433</v>
      </c>
      <c r="O15" s="511">
        <f>+'Evento Cotiz'!L62-'Evento Cotiz'!I62</f>
        <v>17330.715199999995</v>
      </c>
      <c r="P15" s="496"/>
    </row>
    <row r="16" spans="1:16" ht="36">
      <c r="A16" s="67">
        <v>367</v>
      </c>
      <c r="B16" s="456">
        <v>0.78602602275971778</v>
      </c>
      <c r="F16" s="67">
        <v>15</v>
      </c>
      <c r="G16" s="74" t="s">
        <v>35</v>
      </c>
      <c r="H16" s="457">
        <f t="shared" si="0"/>
        <v>0.70739812595336682</v>
      </c>
      <c r="I16" s="458">
        <v>0.70739812595336682</v>
      </c>
      <c r="L16" s="487">
        <v>0.67000281135788586</v>
      </c>
      <c r="M16" s="485">
        <v>0.58750351419735725</v>
      </c>
      <c r="N16" s="489">
        <f>1-('Evento Cotiz'!I63/'Evento Cotiz'!L63)</f>
        <v>0.43814919735599633</v>
      </c>
      <c r="O16" s="511">
        <f>+'Evento Cotiz'!L63-'Evento Cotiz'!I63</f>
        <v>6591.7696000000014</v>
      </c>
      <c r="P16" s="496"/>
    </row>
    <row r="17" spans="1:16" ht="36">
      <c r="A17" s="67">
        <v>197</v>
      </c>
      <c r="B17" s="456">
        <v>0.60206010822087497</v>
      </c>
      <c r="F17" s="67">
        <v>16</v>
      </c>
      <c r="G17" s="74" t="s">
        <v>36</v>
      </c>
      <c r="H17" s="457" t="e">
        <f t="shared" si="0"/>
        <v>#N/A</v>
      </c>
      <c r="I17" s="458"/>
      <c r="L17" s="487">
        <v>0.68192771084337345</v>
      </c>
      <c r="M17" s="485">
        <v>0.60240963855421681</v>
      </c>
      <c r="N17" s="489">
        <f>1-('Evento Cotiz'!I64/'Evento Cotiz'!L64)</f>
        <v>0.3840334461477205</v>
      </c>
      <c r="O17" s="511">
        <f>+'Evento Cotiz'!L64-'Evento Cotiz'!I64</f>
        <v>2108.0111999999999</v>
      </c>
      <c r="P17" s="496"/>
    </row>
    <row r="18" spans="1:16" ht="36">
      <c r="A18" s="67">
        <v>52</v>
      </c>
      <c r="B18" s="456">
        <v>0.69707971336165897</v>
      </c>
      <c r="F18" s="67">
        <v>17</v>
      </c>
      <c r="G18" s="74" t="s">
        <v>37</v>
      </c>
      <c r="H18" s="457" t="e">
        <f t="shared" si="0"/>
        <v>#N/A</v>
      </c>
      <c r="I18" s="458"/>
      <c r="L18" s="487">
        <v>0.63993198931260631</v>
      </c>
      <c r="M18" s="485">
        <v>0.54991498664075777</v>
      </c>
      <c r="N18" s="489">
        <f>1-('Evento Cotiz'!I65/'Evento Cotiz'!L65)</f>
        <v>0.45895428138418792</v>
      </c>
      <c r="O18" s="511">
        <f>+'Evento Cotiz'!L65-'Evento Cotiz'!I65</f>
        <v>1985.6176</v>
      </c>
      <c r="P18" s="496"/>
    </row>
    <row r="19" spans="1:16" ht="48">
      <c r="A19" s="67">
        <v>45</v>
      </c>
      <c r="B19" s="456">
        <v>0.64041296972860118</v>
      </c>
      <c r="F19" s="67">
        <v>18</v>
      </c>
      <c r="G19" s="74" t="s">
        <v>38</v>
      </c>
      <c r="H19" s="457" t="e">
        <f t="shared" si="0"/>
        <v>#N/A</v>
      </c>
      <c r="I19" s="458"/>
      <c r="L19" s="487">
        <v>0.68815357413488254</v>
      </c>
      <c r="M19" s="485">
        <v>0.61019196766860317</v>
      </c>
      <c r="N19" s="489">
        <f>1-('Evento Cotiz'!I66/'Evento Cotiz'!L66)</f>
        <v>0.51035306610034503</v>
      </c>
      <c r="O19" s="511">
        <f>+'Evento Cotiz'!L66-'Evento Cotiz'!I66</f>
        <v>8403.6319999999978</v>
      </c>
      <c r="P19" s="496"/>
    </row>
    <row r="20" spans="1:16" ht="36">
      <c r="A20" s="67">
        <v>95</v>
      </c>
      <c r="B20" s="456">
        <v>0.81876840464230038</v>
      </c>
      <c r="F20" s="67">
        <v>19</v>
      </c>
      <c r="G20" s="74" t="s">
        <v>39</v>
      </c>
      <c r="H20" s="457">
        <f t="shared" si="0"/>
        <v>0.65464835091019014</v>
      </c>
      <c r="I20" s="458">
        <v>0.65464835091019014</v>
      </c>
      <c r="L20" s="487">
        <v>0.61646080000000003</v>
      </c>
      <c r="M20" s="485">
        <v>0.52057599999999993</v>
      </c>
      <c r="N20" s="489">
        <f>1-('Evento Cotiz'!I67/'Evento Cotiz'!L67)</f>
        <v>0.46443205481292404</v>
      </c>
      <c r="O20" s="511">
        <f>+'Evento Cotiz'!L67-'Evento Cotiz'!I67</f>
        <v>7555.619200000001</v>
      </c>
      <c r="P20" s="496"/>
    </row>
    <row r="21" spans="1:16" ht="36">
      <c r="A21" s="67">
        <v>130</v>
      </c>
      <c r="B21" s="456">
        <v>0.644475138121547</v>
      </c>
      <c r="F21" s="67">
        <v>20</v>
      </c>
      <c r="G21" s="74" t="s">
        <v>40</v>
      </c>
      <c r="H21" s="457" t="e">
        <f t="shared" si="0"/>
        <v>#N/A</v>
      </c>
      <c r="I21" s="458"/>
      <c r="L21" s="487">
        <v>0.53643275582699745</v>
      </c>
      <c r="M21" s="485">
        <v>0.42054094478374671</v>
      </c>
      <c r="N21" s="489">
        <f>1-('Evento Cotiz'!I68/'Evento Cotiz'!L68)</f>
        <v>0.51865866388308968</v>
      </c>
      <c r="O21" s="511">
        <f>+'Evento Cotiz'!L68-'Evento Cotiz'!I68</f>
        <v>8687.7599999999984</v>
      </c>
      <c r="P21" s="496"/>
    </row>
    <row r="22" spans="1:16" ht="36">
      <c r="A22" s="67">
        <v>404</v>
      </c>
      <c r="B22" s="456">
        <v>0.83176343201865965</v>
      </c>
      <c r="F22" s="67">
        <v>21</v>
      </c>
      <c r="G22" s="74" t="s">
        <v>41</v>
      </c>
      <c r="H22" s="457">
        <f t="shared" si="0"/>
        <v>0.63802832485063066</v>
      </c>
      <c r="I22" s="458">
        <v>0.63802832485063066</v>
      </c>
      <c r="L22" s="487">
        <v>0.60855981168414286</v>
      </c>
      <c r="M22" s="485">
        <v>0.51069976460517874</v>
      </c>
      <c r="N22" s="489">
        <f>1-('Evento Cotiz'!I69/'Evento Cotiz'!L69)</f>
        <v>0.51726045585306479</v>
      </c>
      <c r="O22" s="511">
        <f>+'Evento Cotiz'!L69-'Evento Cotiz'!I69</f>
        <v>5108.8399999999992</v>
      </c>
      <c r="P22" s="496"/>
    </row>
    <row r="23" spans="1:16" ht="60">
      <c r="A23" s="67">
        <v>132</v>
      </c>
      <c r="B23" s="456">
        <v>0.62708541280479113</v>
      </c>
      <c r="F23" s="67">
        <v>22</v>
      </c>
      <c r="G23" s="74" t="s">
        <v>42</v>
      </c>
      <c r="H23" s="457">
        <f t="shared" si="0"/>
        <v>0.69104646769928224</v>
      </c>
      <c r="I23" s="458">
        <v>0.69104646769928224</v>
      </c>
      <c r="L23" s="487">
        <v>0.65513349251139574</v>
      </c>
      <c r="M23" s="485">
        <v>0.56891686563924471</v>
      </c>
      <c r="N23" s="489">
        <f>1-('Evento Cotiz'!I70/'Evento Cotiz'!L70)</f>
        <v>0.44253872308273523</v>
      </c>
      <c r="O23" s="511">
        <f>+'Evento Cotiz'!L70-'Evento Cotiz'!I70</f>
        <v>6400.5296000000008</v>
      </c>
      <c r="P23" s="496"/>
    </row>
    <row r="24" spans="1:16" ht="60">
      <c r="A24" s="67">
        <v>133</v>
      </c>
      <c r="B24" s="456">
        <v>0.64023955511193498</v>
      </c>
      <c r="F24" s="67">
        <v>23</v>
      </c>
      <c r="G24" s="74" t="s">
        <v>43</v>
      </c>
      <c r="H24" s="457" t="e">
        <f t="shared" si="0"/>
        <v>#N/A</v>
      </c>
      <c r="I24" s="458"/>
      <c r="L24" s="487">
        <v>0.5878567533175787</v>
      </c>
      <c r="M24" s="485">
        <v>0.48482094164697331</v>
      </c>
      <c r="N24" s="489">
        <f>1-('Evento Cotiz'!I71/'Evento Cotiz'!L71)</f>
        <v>0.54658030100971611</v>
      </c>
      <c r="O24" s="511">
        <f>+'Evento Cotiz'!L71-'Evento Cotiz'!I71</f>
        <v>3135.2432000000003</v>
      </c>
      <c r="P24" s="496"/>
    </row>
    <row r="25" spans="1:16" ht="60">
      <c r="A25" s="67">
        <v>143</v>
      </c>
      <c r="B25" s="456">
        <v>0.64366837816720612</v>
      </c>
      <c r="F25" s="67">
        <v>24</v>
      </c>
      <c r="G25" s="74" t="s">
        <v>44</v>
      </c>
      <c r="H25" s="457" t="e">
        <f t="shared" si="0"/>
        <v>#N/A</v>
      </c>
      <c r="I25" s="458"/>
      <c r="L25" s="487">
        <v>0.63594090578832652</v>
      </c>
      <c r="M25" s="485">
        <v>0.54492613223540809</v>
      </c>
      <c r="N25" s="489">
        <f>1-('Evento Cotiz'!I72/'Evento Cotiz'!L72)</f>
        <v>0.44224924012158051</v>
      </c>
      <c r="O25" s="511">
        <f>+'Evento Cotiz'!L72-'Evento Cotiz'!I72</f>
        <v>1908.0287999999996</v>
      </c>
      <c r="P25" s="496"/>
    </row>
    <row r="26" spans="1:16" ht="108">
      <c r="A26" s="67">
        <v>51</v>
      </c>
      <c r="B26" s="456">
        <v>0.86443190512624335</v>
      </c>
      <c r="F26" s="67">
        <v>25</v>
      </c>
      <c r="G26" s="74" t="s">
        <v>367</v>
      </c>
      <c r="H26" s="457" t="e">
        <f t="shared" si="0"/>
        <v>#N/A</v>
      </c>
      <c r="I26" s="458"/>
      <c r="L26" s="487">
        <v>0.7821653463335364</v>
      </c>
      <c r="M26" s="485">
        <v>0.72770668291692053</v>
      </c>
      <c r="N26" s="489">
        <f>1-('Evento Cotiz'!I73/'Evento Cotiz'!L73)</f>
        <v>0.5938986993761235</v>
      </c>
      <c r="O26" s="511">
        <f>+'Evento Cotiz'!L73-'Evento Cotiz'!I73</f>
        <v>12275.422399999999</v>
      </c>
      <c r="P26" s="496"/>
    </row>
    <row r="27" spans="1:16" ht="48">
      <c r="A27" s="67">
        <v>84</v>
      </c>
      <c r="B27" s="456">
        <v>0.63627733900364525</v>
      </c>
      <c r="F27" s="67">
        <v>26</v>
      </c>
      <c r="G27" s="74" t="s">
        <v>45</v>
      </c>
      <c r="H27" s="457">
        <f t="shared" si="0"/>
        <v>0.62833787465940061</v>
      </c>
      <c r="I27" s="458">
        <v>0.62833787465940061</v>
      </c>
      <c r="L27" s="487">
        <v>0.61309300648882481</v>
      </c>
      <c r="M27" s="485">
        <v>0.51636625811103098</v>
      </c>
      <c r="N27" s="489">
        <f>1-('Evento Cotiz'!I74/'Evento Cotiz'!L74)</f>
        <v>0.59476233726914929</v>
      </c>
      <c r="O27" s="511">
        <f>+'Evento Cotiz'!L74-'Evento Cotiz'!I74</f>
        <v>4293.6111999999994</v>
      </c>
      <c r="P27" s="496"/>
    </row>
    <row r="28" spans="1:16" ht="48">
      <c r="A28" s="67">
        <v>180</v>
      </c>
      <c r="B28" s="456">
        <v>0.65098767447555295</v>
      </c>
      <c r="F28" s="67">
        <v>27</v>
      </c>
      <c r="G28" s="74" t="s">
        <v>46</v>
      </c>
      <c r="H28" s="457">
        <f t="shared" si="0"/>
        <v>0.70504664970313824</v>
      </c>
      <c r="I28" s="458">
        <v>0.70504664970313824</v>
      </c>
      <c r="L28" s="487">
        <v>0.66914565572283691</v>
      </c>
      <c r="M28" s="485">
        <v>0.58643206965354611</v>
      </c>
      <c r="N28" s="489">
        <f>1-('Evento Cotiz'!I75/'Evento Cotiz'!L75)</f>
        <v>0.45047592121383473</v>
      </c>
      <c r="O28" s="511">
        <f>+'Evento Cotiz'!L75-'Evento Cotiz'!I75</f>
        <v>5223.5840000000007</v>
      </c>
      <c r="P28" s="496"/>
    </row>
    <row r="29" spans="1:16" ht="48">
      <c r="A29" s="67">
        <v>134</v>
      </c>
      <c r="B29" s="456">
        <v>0.7240547588005215</v>
      </c>
      <c r="F29" s="67">
        <v>28</v>
      </c>
      <c r="G29" s="74" t="s">
        <v>47</v>
      </c>
      <c r="H29" s="457" t="e">
        <f t="shared" si="0"/>
        <v>#N/A</v>
      </c>
      <c r="I29" s="458"/>
      <c r="L29" s="487">
        <v>0.63336119003844227</v>
      </c>
      <c r="M29" s="485">
        <v>0.54170148754805281</v>
      </c>
      <c r="N29" s="489">
        <f>1-('Evento Cotiz'!I76/'Evento Cotiz'!L76)</f>
        <v>0.54619518114057897</v>
      </c>
      <c r="O29" s="511">
        <f>+'Evento Cotiz'!L76-'Evento Cotiz'!I76</f>
        <v>3443.4127999999996</v>
      </c>
      <c r="P29" s="496"/>
    </row>
    <row r="30" spans="1:16" ht="48">
      <c r="A30" s="67">
        <v>156</v>
      </c>
      <c r="B30" s="456">
        <v>0.71090607996214805</v>
      </c>
      <c r="F30" s="67">
        <v>29</v>
      </c>
      <c r="G30" s="74" t="s">
        <v>48</v>
      </c>
      <c r="H30" s="457" t="e">
        <f t="shared" si="0"/>
        <v>#N/A</v>
      </c>
      <c r="I30" s="458"/>
      <c r="L30" s="487">
        <v>0.6372115155841066</v>
      </c>
      <c r="M30" s="485">
        <v>0.54651439448013317</v>
      </c>
      <c r="N30" s="489">
        <f>1-('Evento Cotiz'!I77/'Evento Cotiz'!L77)</f>
        <v>0.60625461708938688</v>
      </c>
      <c r="O30" s="511">
        <f>+'Evento Cotiz'!L77-'Evento Cotiz'!I77</f>
        <v>2690.4736000000003</v>
      </c>
      <c r="P30" s="496"/>
    </row>
    <row r="31" spans="1:16" ht="48">
      <c r="A31" s="67">
        <v>176</v>
      </c>
      <c r="B31" s="456">
        <v>0.80695725852005273</v>
      </c>
      <c r="F31" s="67">
        <v>30</v>
      </c>
      <c r="G31" s="74" t="s">
        <v>49</v>
      </c>
      <c r="H31" s="457">
        <f t="shared" si="0"/>
        <v>0.63624173929700234</v>
      </c>
      <c r="I31" s="458">
        <v>0.63624173929700234</v>
      </c>
      <c r="L31" s="487">
        <v>0.59439303710490154</v>
      </c>
      <c r="M31" s="485">
        <v>0.49299129638112693</v>
      </c>
      <c r="N31" s="489">
        <f>1-('Evento Cotiz'!I78/'Evento Cotiz'!L78)</f>
        <v>0.44152858921559246</v>
      </c>
      <c r="O31" s="511">
        <f>+'Evento Cotiz'!L78-'Evento Cotiz'!I78</f>
        <v>5037.8080000000009</v>
      </c>
      <c r="P31" s="496"/>
    </row>
    <row r="32" spans="1:16" ht="48">
      <c r="A32" s="67">
        <v>50</v>
      </c>
      <c r="B32" s="456">
        <v>0.6327439886845827</v>
      </c>
      <c r="F32" s="67">
        <v>31</v>
      </c>
      <c r="G32" s="74" t="s">
        <v>50</v>
      </c>
      <c r="H32" s="457" t="e">
        <f t="shared" si="0"/>
        <v>#N/A</v>
      </c>
      <c r="I32" s="458"/>
      <c r="L32" s="487">
        <v>0.63529658352546636</v>
      </c>
      <c r="M32" s="485">
        <v>0.54412072940683287</v>
      </c>
      <c r="N32" s="489">
        <f>1-('Evento Cotiz'!I79/'Evento Cotiz'!L79)</f>
        <v>0.45850487540628382</v>
      </c>
      <c r="O32" s="511">
        <f>+'Evento Cotiz'!L79-'Evento Cotiz'!I79</f>
        <v>2312.3647999999998</v>
      </c>
      <c r="P32" s="496"/>
    </row>
    <row r="33" spans="1:16" ht="48">
      <c r="A33" s="67">
        <v>56</v>
      </c>
      <c r="B33" s="456">
        <v>0.52884175884450135</v>
      </c>
      <c r="F33" s="67">
        <v>32</v>
      </c>
      <c r="G33" s="74" t="s">
        <v>51</v>
      </c>
      <c r="H33" s="457" t="e">
        <f t="shared" si="0"/>
        <v>#N/A</v>
      </c>
      <c r="I33" s="458"/>
      <c r="L33" s="487">
        <v>0.71080569664376059</v>
      </c>
      <c r="M33" s="485">
        <v>0.63850712080470073</v>
      </c>
      <c r="N33" s="489">
        <f>1-('Evento Cotiz'!I80/'Evento Cotiz'!L80)</f>
        <v>0.3484331368290412</v>
      </c>
      <c r="O33" s="511">
        <f>+'Evento Cotiz'!L80-'Evento Cotiz'!I80</f>
        <v>14726.572799999998</v>
      </c>
      <c r="P33" s="496"/>
    </row>
    <row r="34" spans="1:16" ht="36">
      <c r="A34" s="67">
        <v>94</v>
      </c>
      <c r="B34" s="456">
        <v>0.65818082605775685</v>
      </c>
      <c r="F34" s="67">
        <v>33</v>
      </c>
      <c r="G34" s="74" t="s">
        <v>52</v>
      </c>
      <c r="H34" s="457" t="e">
        <f t="shared" si="0"/>
        <v>#N/A</v>
      </c>
      <c r="I34" s="458"/>
      <c r="L34" s="487">
        <v>0.7396072054676186</v>
      </c>
      <c r="M34" s="485">
        <v>0.67450900683452319</v>
      </c>
      <c r="N34" s="489">
        <f>1-('Evento Cotiz'!I81/'Evento Cotiz'!L81)</f>
        <v>0.62767142175319512</v>
      </c>
      <c r="O34" s="511">
        <f>+'Evento Cotiz'!L81-'Evento Cotiz'!I81</f>
        <v>25868.761599999998</v>
      </c>
      <c r="P34" s="496"/>
    </row>
    <row r="35" spans="1:16" ht="36">
      <c r="A35" s="67">
        <v>82</v>
      </c>
      <c r="B35" s="456">
        <v>0.58249893481039627</v>
      </c>
      <c r="F35" s="67">
        <v>34</v>
      </c>
      <c r="G35" s="74" t="s">
        <v>53</v>
      </c>
      <c r="H35" s="457" t="e">
        <f t="shared" si="0"/>
        <v>#N/A</v>
      </c>
      <c r="I35" s="458"/>
      <c r="L35" s="487">
        <v>0.7770057899090157</v>
      </c>
      <c r="M35" s="485">
        <v>0.72125723738626957</v>
      </c>
      <c r="N35" s="489">
        <f>1-('Evento Cotiz'!I82/'Evento Cotiz'!L82)</f>
        <v>0.38117524700988037</v>
      </c>
      <c r="O35" s="511">
        <f>+'Evento Cotiz'!L82-'Evento Cotiz'!I82</f>
        <v>4806.1343999999999</v>
      </c>
      <c r="P35" s="496"/>
    </row>
    <row r="36" spans="1:16">
      <c r="A36" s="67">
        <v>126</v>
      </c>
      <c r="B36" s="456">
        <v>0.67962226640159051</v>
      </c>
      <c r="F36" s="67">
        <v>35</v>
      </c>
      <c r="G36" s="74" t="s">
        <v>54</v>
      </c>
      <c r="H36" s="457">
        <f t="shared" si="0"/>
        <v>0.64549794238683122</v>
      </c>
      <c r="I36" s="458">
        <v>0.64549794238683122</v>
      </c>
      <c r="L36" s="487">
        <v>0.62664974619289349</v>
      </c>
      <c r="M36" s="485">
        <v>0.53331218274111669</v>
      </c>
      <c r="N36" s="489">
        <f>1-('Evento Cotiz'!I83/'Evento Cotiz'!L83)</f>
        <v>0.62288065843621399</v>
      </c>
      <c r="O36" s="511">
        <f>+'Evento Cotiz'!L83-'Evento Cotiz'!I83</f>
        <v>4135.1552000000001</v>
      </c>
      <c r="P36" s="496"/>
    </row>
    <row r="37" spans="1:16">
      <c r="A37" s="67">
        <v>141</v>
      </c>
      <c r="B37" s="456">
        <v>0.58468882602545968</v>
      </c>
      <c r="F37" s="67">
        <v>36</v>
      </c>
      <c r="G37" s="74" t="s">
        <v>55</v>
      </c>
      <c r="H37" s="457" t="e">
        <f t="shared" si="0"/>
        <v>#N/A</v>
      </c>
      <c r="I37" s="458"/>
      <c r="L37" s="487">
        <v>0.52524755068895057</v>
      </c>
      <c r="M37" s="485">
        <v>0.40655943836118824</v>
      </c>
      <c r="N37" s="489">
        <f>1-('Evento Cotiz'!I84/'Evento Cotiz'!L84)</f>
        <v>0.27292145908642795</v>
      </c>
      <c r="O37" s="511">
        <f>+'Evento Cotiz'!L84-'Evento Cotiz'!I84</f>
        <v>5445.4224000000013</v>
      </c>
      <c r="P37" s="496"/>
    </row>
    <row r="38" spans="1:16" ht="60">
      <c r="A38" s="67">
        <v>97</v>
      </c>
      <c r="B38" s="456">
        <v>0.74094051110180148</v>
      </c>
      <c r="F38" s="67">
        <v>37</v>
      </c>
      <c r="G38" s="74" t="s">
        <v>56</v>
      </c>
      <c r="H38" s="457" t="e">
        <f t="shared" si="0"/>
        <v>#N/A</v>
      </c>
      <c r="I38" s="458"/>
      <c r="L38" s="487">
        <v>0.58675827607745157</v>
      </c>
      <c r="M38" s="485">
        <v>0.48344784509681449</v>
      </c>
      <c r="N38" s="489">
        <f>1-('Evento Cotiz'!I85/'Evento Cotiz'!L85)</f>
        <v>0.53417060838362418</v>
      </c>
      <c r="O38" s="511">
        <f>+'Evento Cotiz'!L85-'Evento Cotiz'!I85</f>
        <v>3578.92</v>
      </c>
      <c r="P38" s="496"/>
    </row>
    <row r="39" spans="1:16" ht="60">
      <c r="A39" s="67">
        <v>198</v>
      </c>
      <c r="B39" s="456">
        <v>0.68319157736902647</v>
      </c>
      <c r="F39" s="67">
        <v>38</v>
      </c>
      <c r="G39" s="74" t="s">
        <v>57</v>
      </c>
      <c r="H39" s="457" t="e">
        <f t="shared" si="0"/>
        <v>#N/A</v>
      </c>
      <c r="I39" s="458"/>
      <c r="L39" s="487">
        <v>0.69098777046095949</v>
      </c>
      <c r="M39" s="485">
        <v>0.61373471307619942</v>
      </c>
      <c r="N39" s="489">
        <f>1-('Evento Cotiz'!I86/'Evento Cotiz'!L86)</f>
        <v>0.48565815324165029</v>
      </c>
      <c r="O39" s="511">
        <f>+'Evento Cotiz'!L86-'Evento Cotiz'!I86</f>
        <v>2701.4015999999997</v>
      </c>
      <c r="P39" s="496"/>
    </row>
    <row r="40" spans="1:16" ht="72">
      <c r="A40" s="67">
        <v>168</v>
      </c>
      <c r="B40" s="456">
        <v>0.59006555673255656</v>
      </c>
      <c r="F40" s="67">
        <v>39</v>
      </c>
      <c r="G40" s="74" t="s">
        <v>58</v>
      </c>
      <c r="H40" s="457" t="e">
        <f t="shared" si="0"/>
        <v>#N/A</v>
      </c>
      <c r="I40" s="458"/>
      <c r="L40" s="487">
        <v>0.6957561547479485</v>
      </c>
      <c r="M40" s="485">
        <v>0.61969519343493551</v>
      </c>
      <c r="N40" s="489">
        <f>1-('Evento Cotiz'!I87/'Evento Cotiz'!L87)</f>
        <v>0.47220365757336413</v>
      </c>
      <c r="O40" s="511">
        <f>+'Evento Cotiz'!L87-'Evento Cotiz'!I87</f>
        <v>8493.2415999999994</v>
      </c>
      <c r="P40" s="496"/>
    </row>
    <row r="41" spans="1:16" ht="72">
      <c r="A41" s="67">
        <v>92</v>
      </c>
      <c r="B41" s="456">
        <v>0.60724457102171603</v>
      </c>
      <c r="F41" s="67">
        <v>40</v>
      </c>
      <c r="G41" s="74" t="s">
        <v>59</v>
      </c>
      <c r="H41" s="457" t="e">
        <f t="shared" si="0"/>
        <v>#N/A</v>
      </c>
      <c r="I41" s="458"/>
      <c r="L41" s="487">
        <v>0.7392731535756154</v>
      </c>
      <c r="M41" s="485">
        <v>0.67409144196951942</v>
      </c>
      <c r="N41" s="489">
        <f>1-('Evento Cotiz'!I88/'Evento Cotiz'!L88)</f>
        <v>8.8195294437644511E-2</v>
      </c>
      <c r="O41" s="511">
        <f>+'Evento Cotiz'!L88-'Evento Cotiz'!I88</f>
        <v>1417.3616000000002</v>
      </c>
      <c r="P41" s="496"/>
    </row>
    <row r="42" spans="1:16" ht="24">
      <c r="A42" s="67">
        <v>54</v>
      </c>
      <c r="B42" s="456">
        <v>0.70844271155033978</v>
      </c>
      <c r="F42" s="67">
        <v>41</v>
      </c>
      <c r="G42" s="74" t="s">
        <v>60</v>
      </c>
      <c r="H42" s="457">
        <f t="shared" si="0"/>
        <v>0.73137330754352026</v>
      </c>
      <c r="I42" s="458">
        <v>0.73137330754352026</v>
      </c>
      <c r="L42" s="487">
        <v>0.71844155844155844</v>
      </c>
      <c r="M42" s="485">
        <v>0.64805194805194799</v>
      </c>
      <c r="N42" s="489">
        <f>1-('Evento Cotiz'!I89/'Evento Cotiz'!L89)</f>
        <v>0.35551257253384905</v>
      </c>
      <c r="O42" s="511">
        <f>+'Evento Cotiz'!L89-'Evento Cotiz'!I89</f>
        <v>2008.5663999999997</v>
      </c>
      <c r="P42" s="496"/>
    </row>
    <row r="43" spans="1:16" ht="60">
      <c r="A43" s="67">
        <v>125</v>
      </c>
      <c r="B43" s="456">
        <v>0.68366269422235626</v>
      </c>
      <c r="F43" s="67">
        <v>42</v>
      </c>
      <c r="G43" s="74" t="s">
        <v>61</v>
      </c>
      <c r="H43" s="457" t="e">
        <f t="shared" si="0"/>
        <v>#N/A</v>
      </c>
      <c r="I43" s="458"/>
      <c r="L43" s="487">
        <v>0.49391767356133531</v>
      </c>
      <c r="M43" s="485">
        <v>0.36739709195166903</v>
      </c>
      <c r="N43" s="489">
        <v>0</v>
      </c>
      <c r="O43" s="511">
        <f>+'Evento Cotiz'!L90-'Evento Cotiz'!I90</f>
        <v>9.8351999999995314</v>
      </c>
      <c r="P43" s="496"/>
    </row>
    <row r="44" spans="1:16" ht="24">
      <c r="A44" s="67">
        <v>119</v>
      </c>
      <c r="B44" s="456">
        <v>0.70596401599289205</v>
      </c>
      <c r="F44" s="67">
        <v>43</v>
      </c>
      <c r="G44" s="74" t="s">
        <v>62</v>
      </c>
      <c r="H44" s="457" t="e">
        <f t="shared" si="0"/>
        <v>#N/A</v>
      </c>
      <c r="I44" s="458"/>
      <c r="L44" s="487">
        <v>0.55957565605806814</v>
      </c>
      <c r="M44" s="485">
        <v>0.44946957007258515</v>
      </c>
      <c r="N44" s="489">
        <f>1-('Evento Cotiz'!I91/'Evento Cotiz'!L91)</f>
        <v>0.64718223251103235</v>
      </c>
      <c r="O44" s="511">
        <f>+'Evento Cotiz'!L91-'Evento Cotiz'!I91</f>
        <v>9776.1887999999999</v>
      </c>
      <c r="P44" s="496"/>
    </row>
    <row r="45" spans="1:16" ht="24">
      <c r="A45" s="67">
        <v>120</v>
      </c>
      <c r="B45" s="456">
        <v>0.7042312526183494</v>
      </c>
      <c r="F45" s="67">
        <v>44</v>
      </c>
      <c r="G45" s="74" t="s">
        <v>63</v>
      </c>
      <c r="H45" s="457" t="e">
        <f t="shared" si="0"/>
        <v>#N/A</v>
      </c>
      <c r="I45" s="458"/>
      <c r="L45" s="487">
        <v>0.63682264559734358</v>
      </c>
      <c r="M45" s="485">
        <v>0.54602830699667948</v>
      </c>
      <c r="N45" s="489">
        <f>1-('Evento Cotiz'!I92/'Evento Cotiz'!L92)</f>
        <v>0.50831312781434013</v>
      </c>
      <c r="O45" s="511">
        <f>+'Evento Cotiz'!L92-'Evento Cotiz'!I92</f>
        <v>22451.575999999997</v>
      </c>
      <c r="P45" s="496"/>
    </row>
    <row r="46" spans="1:16" ht="36">
      <c r="A46" s="67">
        <v>118</v>
      </c>
      <c r="B46" s="456">
        <v>0.6763898581065364</v>
      </c>
      <c r="F46" s="67">
        <v>45</v>
      </c>
      <c r="G46" s="74" t="s">
        <v>64</v>
      </c>
      <c r="H46" s="457">
        <f t="shared" si="0"/>
        <v>0.64041296972860118</v>
      </c>
      <c r="I46" s="458">
        <v>0.64041296972860118</v>
      </c>
      <c r="L46" s="487">
        <v>0.59617850408548079</v>
      </c>
      <c r="M46" s="485">
        <v>0.49522313010685104</v>
      </c>
      <c r="N46" s="489">
        <f>1-('Evento Cotiz'!I93/'Evento Cotiz'!L93)</f>
        <v>0.40651096033402923</v>
      </c>
      <c r="O46" s="511">
        <f>+'Evento Cotiz'!L93-'Evento Cotiz'!I93</f>
        <v>6809.2367999999988</v>
      </c>
      <c r="P46" s="496"/>
    </row>
    <row r="47" spans="1:16" ht="36">
      <c r="A47" s="67">
        <v>66</v>
      </c>
      <c r="B47" s="456">
        <v>0.83765786452353619</v>
      </c>
      <c r="F47" s="67">
        <v>46</v>
      </c>
      <c r="G47" s="74" t="s">
        <v>65</v>
      </c>
      <c r="H47" s="457" t="e">
        <f t="shared" si="0"/>
        <v>#N/A</v>
      </c>
      <c r="I47" s="458"/>
      <c r="L47" s="487">
        <v>0.59930148434576525</v>
      </c>
      <c r="M47" s="485">
        <v>0.49912685543220658</v>
      </c>
      <c r="N47" s="489">
        <f>1-('Evento Cotiz'!I94/'Evento Cotiz'!L94)</f>
        <v>0.38139139531842547</v>
      </c>
      <c r="O47" s="511">
        <f>+'Evento Cotiz'!L94-'Evento Cotiz'!I94</f>
        <v>6374.3023999999987</v>
      </c>
      <c r="P47" s="496"/>
    </row>
    <row r="48" spans="1:16" ht="24">
      <c r="A48" s="67">
        <v>69</v>
      </c>
      <c r="B48" s="456">
        <v>0.88505233208007317</v>
      </c>
      <c r="F48" s="67">
        <v>47</v>
      </c>
      <c r="G48" s="74" t="s">
        <v>66</v>
      </c>
      <c r="H48" s="457" t="e">
        <f t="shared" si="0"/>
        <v>#N/A</v>
      </c>
      <c r="I48" s="458"/>
      <c r="L48" s="487">
        <v>0.82129551736570128</v>
      </c>
      <c r="M48" s="485">
        <v>0.77661939670712654</v>
      </c>
      <c r="N48" s="489">
        <f>1-('Evento Cotiz'!I95/'Evento Cotiz'!L95)</f>
        <v>0.48090162114146129</v>
      </c>
      <c r="O48" s="511">
        <f>+'Evento Cotiz'!L95-'Evento Cotiz'!I95</f>
        <v>33130.417600000008</v>
      </c>
      <c r="P48" s="496"/>
    </row>
    <row r="49" spans="1:16" ht="24">
      <c r="A49" s="67">
        <v>70</v>
      </c>
      <c r="B49" s="456">
        <v>0.8885187740218784</v>
      </c>
      <c r="F49" s="67">
        <v>48</v>
      </c>
      <c r="G49" s="74" t="s">
        <v>67</v>
      </c>
      <c r="H49" s="457">
        <f t="shared" si="0"/>
        <v>0.67744968703511377</v>
      </c>
      <c r="I49" s="458">
        <v>0.67744968703511377</v>
      </c>
      <c r="L49" s="487">
        <v>0.63916223314701326</v>
      </c>
      <c r="M49" s="485">
        <v>0.54895279143376663</v>
      </c>
      <c r="N49" s="489">
        <f>1-('Evento Cotiz'!I96/'Evento Cotiz'!L96)</f>
        <v>0.58247958009374912</v>
      </c>
      <c r="O49" s="511">
        <f>+'Evento Cotiz'!L96-'Evento Cotiz'!I96</f>
        <v>45355.571199999991</v>
      </c>
      <c r="P49" s="496"/>
    </row>
    <row r="50" spans="1:16" ht="24">
      <c r="A50" s="67">
        <v>72</v>
      </c>
      <c r="B50" s="456">
        <v>0.76410714285714287</v>
      </c>
      <c r="F50" s="67">
        <v>49</v>
      </c>
      <c r="G50" s="74" t="s">
        <v>68</v>
      </c>
      <c r="H50" s="457" t="e">
        <f t="shared" si="0"/>
        <v>#N/A</v>
      </c>
      <c r="I50" s="458"/>
      <c r="L50" s="487">
        <v>0.49467019922237898</v>
      </c>
      <c r="M50" s="485">
        <v>0.36833774902797367</v>
      </c>
      <c r="N50" s="489">
        <f>1-('Evento Cotiz'!I97/'Evento Cotiz'!L97)</f>
        <v>0.30461428825939785</v>
      </c>
      <c r="O50" s="511">
        <f>+'Evento Cotiz'!L97-'Evento Cotiz'!I97</f>
        <v>9342.3472000000002</v>
      </c>
      <c r="P50" s="496"/>
    </row>
    <row r="51" spans="1:16" ht="24">
      <c r="A51" s="67">
        <v>64</v>
      </c>
      <c r="B51" s="456">
        <v>0.82509070078289093</v>
      </c>
      <c r="F51" s="67">
        <v>50</v>
      </c>
      <c r="G51" s="74" t="s">
        <v>69</v>
      </c>
      <c r="H51" s="457">
        <f t="shared" si="0"/>
        <v>0.6327439886845827</v>
      </c>
      <c r="I51" s="458">
        <v>0.6327439886845827</v>
      </c>
      <c r="L51" s="487">
        <v>0.58950294975249196</v>
      </c>
      <c r="M51" s="485">
        <v>0.486878687190615</v>
      </c>
      <c r="N51" s="489">
        <f>1-('Evento Cotiz'!I98/'Evento Cotiz'!L98)</f>
        <v>0.4655586987270155</v>
      </c>
      <c r="O51" s="511">
        <f>+'Evento Cotiz'!L98-'Evento Cotiz'!I98</f>
        <v>7193.902399999999</v>
      </c>
      <c r="P51" s="496"/>
    </row>
    <row r="52" spans="1:16" ht="48">
      <c r="A52" s="67">
        <v>121</v>
      </c>
      <c r="B52" s="456">
        <v>0.78843215714805381</v>
      </c>
      <c r="F52" s="67">
        <v>51</v>
      </c>
      <c r="G52" s="74" t="s">
        <v>70</v>
      </c>
      <c r="H52" s="457">
        <f t="shared" si="0"/>
        <v>0.86443190512624335</v>
      </c>
      <c r="I52" s="458">
        <v>0.86443190512624335</v>
      </c>
      <c r="L52" s="487">
        <v>0.84816981652219192</v>
      </c>
      <c r="M52" s="485">
        <v>0.81021227065273993</v>
      </c>
      <c r="N52" s="489">
        <f>1-('Evento Cotiz'!I99/'Evento Cotiz'!L99)</f>
        <v>0.52579061463912269</v>
      </c>
      <c r="O52" s="511">
        <f>+'Evento Cotiz'!L99-'Evento Cotiz'!I99</f>
        <v>18023.5504</v>
      </c>
      <c r="P52" s="496"/>
    </row>
    <row r="53" spans="1:16" ht="48">
      <c r="A53" s="67">
        <v>205</v>
      </c>
      <c r="B53" s="456">
        <v>0.69692789968652047</v>
      </c>
      <c r="F53" s="67">
        <v>52</v>
      </c>
      <c r="G53" s="74" t="s">
        <v>71</v>
      </c>
      <c r="H53" s="457">
        <f t="shared" si="0"/>
        <v>0.69707971336165897</v>
      </c>
      <c r="I53" s="458">
        <v>0.69707971336165897</v>
      </c>
      <c r="L53" s="487">
        <v>0.65928282951903072</v>
      </c>
      <c r="M53" s="485">
        <v>0.57410353689878835</v>
      </c>
      <c r="N53" s="489">
        <f>1-('Evento Cotiz'!I100/'Evento Cotiz'!L100)</f>
        <v>0.49571944955292035</v>
      </c>
      <c r="O53" s="511">
        <f>+'Evento Cotiz'!L100-'Evento Cotiz'!I100</f>
        <v>8542.4176000000007</v>
      </c>
      <c r="P53" s="496"/>
    </row>
    <row r="54" spans="1:16" ht="48">
      <c r="A54" s="67">
        <v>124</v>
      </c>
      <c r="B54" s="456">
        <v>0.76711199076364833</v>
      </c>
      <c r="F54" s="67">
        <v>53</v>
      </c>
      <c r="G54" s="74" t="s">
        <v>72</v>
      </c>
      <c r="H54" s="457" t="e">
        <f t="shared" si="0"/>
        <v>#N/A</v>
      </c>
      <c r="I54" s="458"/>
      <c r="L54" s="487">
        <v>0.89864092162126374</v>
      </c>
      <c r="M54" s="485">
        <v>0.87330115202657965</v>
      </c>
      <c r="N54" s="489">
        <f>1-('Evento Cotiz'!I101/'Evento Cotiz'!L101)</f>
        <v>0.35562271754187125</v>
      </c>
      <c r="O54" s="511">
        <f>+'Evento Cotiz'!L101-'Evento Cotiz'!I101</f>
        <v>30860.671999999991</v>
      </c>
      <c r="P54" s="496"/>
    </row>
    <row r="55" spans="1:16" ht="36">
      <c r="A55" s="67">
        <v>35</v>
      </c>
      <c r="B55" s="456">
        <v>0.64549794238683122</v>
      </c>
      <c r="F55" s="67">
        <v>54</v>
      </c>
      <c r="G55" s="74" t="s">
        <v>73</v>
      </c>
      <c r="H55" s="457">
        <f t="shared" si="0"/>
        <v>0.70844271155033978</v>
      </c>
      <c r="I55" s="458">
        <v>0.70844271155033978</v>
      </c>
      <c r="L55" s="487">
        <v>0.67542216650689468</v>
      </c>
      <c r="M55" s="485">
        <v>0.59427770813361847</v>
      </c>
      <c r="N55" s="489">
        <f>1-('Evento Cotiz'!I102/'Evento Cotiz'!L102)</f>
        <v>0.4946726374305126</v>
      </c>
      <c r="O55" s="511">
        <f>+'Evento Cotiz'!L102-'Evento Cotiz'!I102</f>
        <v>7001.5695999999989</v>
      </c>
      <c r="P55" s="496"/>
    </row>
    <row r="56" spans="1:16" ht="36">
      <c r="A56" s="67">
        <v>113</v>
      </c>
      <c r="B56" s="456">
        <v>0.68714544357272178</v>
      </c>
      <c r="F56" s="67">
        <v>55</v>
      </c>
      <c r="G56" s="74" t="s">
        <v>74</v>
      </c>
      <c r="H56" s="457" t="e">
        <f t="shared" si="0"/>
        <v>#N/A</v>
      </c>
      <c r="I56" s="458"/>
      <c r="L56" s="487">
        <v>0.69198154501360465</v>
      </c>
      <c r="M56" s="485">
        <v>0.61497693126700581</v>
      </c>
      <c r="N56" s="489">
        <f>1-('Evento Cotiz'!I103/'Evento Cotiz'!L103)</f>
        <v>0.62878003058556553</v>
      </c>
      <c r="O56" s="511">
        <f>+'Evento Cotiz'!L103-'Evento Cotiz'!I103</f>
        <v>27857.657599999999</v>
      </c>
      <c r="P56" s="496"/>
    </row>
    <row r="57" spans="1:16" ht="36">
      <c r="A57" s="67">
        <v>114</v>
      </c>
      <c r="B57" s="456">
        <v>0.72643799472295512</v>
      </c>
      <c r="F57" s="67">
        <v>56</v>
      </c>
      <c r="G57" s="74" t="s">
        <v>75</v>
      </c>
      <c r="H57" s="457">
        <f t="shared" si="0"/>
        <v>0.52884175884450135</v>
      </c>
      <c r="I57" s="458">
        <v>0.52884175884450135</v>
      </c>
      <c r="L57" s="487">
        <v>0.47288998069836818</v>
      </c>
      <c r="M57" s="485">
        <v>0.34111247587296012</v>
      </c>
      <c r="N57" s="489">
        <f>1-('Evento Cotiz'!I104/'Evento Cotiz'!L104)</f>
        <v>0.41256056312277167</v>
      </c>
      <c r="O57" s="511">
        <f>+'Evento Cotiz'!L104-'Evento Cotiz'!I104</f>
        <v>4931.8063999999995</v>
      </c>
      <c r="P57" s="496"/>
    </row>
    <row r="58" spans="1:16" ht="24">
      <c r="A58" s="67">
        <v>41</v>
      </c>
      <c r="B58" s="456">
        <v>0.73137330754352026</v>
      </c>
      <c r="F58" s="67">
        <v>57</v>
      </c>
      <c r="G58" s="74" t="s">
        <v>76</v>
      </c>
      <c r="H58" s="457" t="e">
        <f t="shared" si="0"/>
        <v>#N/A</v>
      </c>
      <c r="I58" s="458"/>
      <c r="L58" s="487">
        <v>0.60069613644274278</v>
      </c>
      <c r="M58" s="485">
        <v>0.50087017055342842</v>
      </c>
      <c r="N58" s="489">
        <f>1-('Evento Cotiz'!I105/'Evento Cotiz'!L105)</f>
        <v>4.4089644060348543E-2</v>
      </c>
      <c r="O58" s="511">
        <f>+'Evento Cotiz'!L105-'Evento Cotiz'!I105</f>
        <v>657.86559999999918</v>
      </c>
      <c r="P58" s="496"/>
    </row>
    <row r="59" spans="1:16" ht="24">
      <c r="A59" s="67">
        <v>155</v>
      </c>
      <c r="B59" s="456">
        <v>0.6569483380056067</v>
      </c>
      <c r="F59" s="67">
        <v>58</v>
      </c>
      <c r="G59" s="74" t="s">
        <v>77</v>
      </c>
      <c r="H59" s="457" t="e">
        <f t="shared" si="0"/>
        <v>#N/A</v>
      </c>
      <c r="I59" s="458"/>
      <c r="L59" s="487">
        <v>0.85071252137564124</v>
      </c>
      <c r="M59" s="485">
        <v>0.81339065171955161</v>
      </c>
      <c r="N59" s="489">
        <f>1-('Evento Cotiz'!I106/'Evento Cotiz'!L106)</f>
        <v>0.76370262029301661</v>
      </c>
      <c r="O59" s="511">
        <f>+'Evento Cotiz'!L106-'Evento Cotiz'!I106</f>
        <v>33665.889599999995</v>
      </c>
      <c r="P59" s="496"/>
    </row>
    <row r="60" spans="1:16">
      <c r="A60" s="67">
        <v>184</v>
      </c>
      <c r="B60" s="456">
        <v>0.62996095136670216</v>
      </c>
      <c r="F60" s="67">
        <v>59</v>
      </c>
      <c r="G60" s="74" t="s">
        <v>78</v>
      </c>
      <c r="H60" s="457" t="e">
        <f t="shared" si="0"/>
        <v>#N/A</v>
      </c>
      <c r="I60" s="458"/>
      <c r="L60" s="487">
        <v>0.8013315016379583</v>
      </c>
      <c r="M60" s="485">
        <v>0.75166437704744793</v>
      </c>
      <c r="N60" s="489">
        <f>1-('Evento Cotiz'!I107/'Evento Cotiz'!L107)</f>
        <v>0.68039021164021163</v>
      </c>
      <c r="O60" s="511">
        <f>+'Evento Cotiz'!L107-'Evento Cotiz'!I107</f>
        <v>13490.616000000002</v>
      </c>
      <c r="P60" s="496"/>
    </row>
    <row r="61" spans="1:16" ht="24">
      <c r="A61" s="67">
        <v>115</v>
      </c>
      <c r="B61" s="456">
        <v>0.74538310412573672</v>
      </c>
      <c r="F61" s="67">
        <v>60</v>
      </c>
      <c r="G61" s="74" t="s">
        <v>79</v>
      </c>
      <c r="H61" s="457">
        <f t="shared" si="0"/>
        <v>0.63528892809880899</v>
      </c>
      <c r="I61" s="458">
        <v>0.63528892809880899</v>
      </c>
      <c r="L61" s="487">
        <v>0.58831368528959516</v>
      </c>
      <c r="M61" s="485">
        <v>0.48539210661199383</v>
      </c>
      <c r="N61" s="489">
        <f>1-('Evento Cotiz'!I108/'Evento Cotiz'!L108)</f>
        <v>0.41208645787384202</v>
      </c>
      <c r="O61" s="511">
        <f>+'Evento Cotiz'!L108-'Evento Cotiz'!I108</f>
        <v>5104.4687999999987</v>
      </c>
      <c r="P61" s="496"/>
    </row>
    <row r="62" spans="1:16" ht="24">
      <c r="A62" s="67">
        <v>112</v>
      </c>
      <c r="B62" s="456">
        <v>0.6584206848357792</v>
      </c>
      <c r="F62" s="67">
        <v>61</v>
      </c>
      <c r="G62" s="74" t="s">
        <v>80</v>
      </c>
      <c r="H62" s="457" t="e">
        <f t="shared" si="0"/>
        <v>#N/A</v>
      </c>
      <c r="I62" s="458"/>
      <c r="L62" s="487">
        <v>0.57413541804690604</v>
      </c>
      <c r="M62" s="485">
        <v>0.46766927255863255</v>
      </c>
      <c r="N62" s="489">
        <f>1-('Evento Cotiz'!I109/'Evento Cotiz'!L109)</f>
        <v>0.51323264514341149</v>
      </c>
      <c r="O62" s="511">
        <f>+'Evento Cotiz'!L109-'Evento Cotiz'!I109</f>
        <v>8095.4624000000013</v>
      </c>
      <c r="P62" s="496"/>
    </row>
    <row r="63" spans="1:16" ht="24">
      <c r="A63" s="67">
        <v>127</v>
      </c>
      <c r="B63" s="456">
        <v>0.80072404531122277</v>
      </c>
      <c r="F63" s="67">
        <v>62</v>
      </c>
      <c r="G63" s="74" t="s">
        <v>81</v>
      </c>
      <c r="H63" s="457" t="e">
        <f t="shared" si="0"/>
        <v>#N/A</v>
      </c>
      <c r="I63" s="458"/>
      <c r="L63" s="487">
        <v>0.64210247583741564</v>
      </c>
      <c r="M63" s="485">
        <v>0.55262809479676944</v>
      </c>
      <c r="N63" s="489">
        <f>1-('Evento Cotiz'!I110/'Evento Cotiz'!L110)</f>
        <v>0.45172081939416153</v>
      </c>
      <c r="O63" s="511">
        <f>+'Evento Cotiz'!L110-'Evento Cotiz'!I110</f>
        <v>10771.729599999999</v>
      </c>
      <c r="P63" s="496"/>
    </row>
    <row r="64" spans="1:16" ht="24">
      <c r="A64" s="67">
        <v>26</v>
      </c>
      <c r="B64" s="456">
        <v>0.62833787465940061</v>
      </c>
      <c r="F64" s="67">
        <v>63</v>
      </c>
      <c r="G64" s="74" t="s">
        <v>82</v>
      </c>
      <c r="H64" s="457" t="e">
        <f t="shared" si="0"/>
        <v>#N/A</v>
      </c>
      <c r="I64" s="458"/>
      <c r="L64" s="487">
        <v>0.62477990993549437</v>
      </c>
      <c r="M64" s="485">
        <v>0.53097488741936794</v>
      </c>
      <c r="N64" s="489">
        <f>1-('Evento Cotiz'!I111/'Evento Cotiz'!L111)</f>
        <v>0.61577825159914712</v>
      </c>
      <c r="O64" s="511">
        <f>+'Evento Cotiz'!L111-'Evento Cotiz'!I111</f>
        <v>15780.031999999999</v>
      </c>
      <c r="P64" s="496"/>
    </row>
    <row r="65" spans="1:16" ht="24">
      <c r="A65" s="67">
        <v>175</v>
      </c>
      <c r="B65" s="456">
        <v>0.57751573464515671</v>
      </c>
      <c r="F65" s="67">
        <v>64</v>
      </c>
      <c r="G65" s="74" t="s">
        <v>83</v>
      </c>
      <c r="H65" s="457">
        <f t="shared" si="0"/>
        <v>0.82509070078289093</v>
      </c>
      <c r="I65" s="458">
        <v>0.82509070078289093</v>
      </c>
      <c r="L65" s="487">
        <v>0.81683748169838943</v>
      </c>
      <c r="M65" s="485">
        <v>0.77104685212298685</v>
      </c>
      <c r="N65" s="489">
        <f>1-('Evento Cotiz'!I112/'Evento Cotiz'!L112)</f>
        <v>0.48080962383043724</v>
      </c>
      <c r="O65" s="511">
        <f>+'Evento Cotiz'!L112-'Evento Cotiz'!I112</f>
        <v>2751.6704</v>
      </c>
      <c r="P65" s="496"/>
    </row>
    <row r="66" spans="1:16" ht="24">
      <c r="A66" s="67">
        <v>159</v>
      </c>
      <c r="B66" s="456">
        <v>0.77484143763213531</v>
      </c>
      <c r="F66" s="67">
        <v>65</v>
      </c>
      <c r="G66" s="74" t="s">
        <v>84</v>
      </c>
      <c r="H66" s="457" t="e">
        <f t="shared" si="0"/>
        <v>#N/A</v>
      </c>
      <c r="I66" s="458"/>
      <c r="L66" s="487">
        <v>0.92609865470852015</v>
      </c>
      <c r="M66" s="485">
        <v>0.90762331838565025</v>
      </c>
      <c r="N66" s="489">
        <f>1-('Evento Cotiz'!I113/'Evento Cotiz'!L113)</f>
        <v>0.4419526700532771</v>
      </c>
      <c r="O66" s="511">
        <f>+'Evento Cotiz'!L113-'Evento Cotiz'!I113</f>
        <v>7796.0351999999984</v>
      </c>
      <c r="P66" s="496"/>
    </row>
    <row r="67" spans="1:16" ht="24">
      <c r="A67" s="67">
        <v>75</v>
      </c>
      <c r="B67" s="456">
        <v>0.75146443514644345</v>
      </c>
      <c r="F67" s="67">
        <v>66</v>
      </c>
      <c r="G67" s="74" t="s">
        <v>85</v>
      </c>
      <c r="H67" s="457">
        <f t="shared" ref="H67:H130" si="1">VLOOKUP(F67,$A$2:$B$431,2,0)</f>
        <v>0.83765786452353619</v>
      </c>
      <c r="I67" s="458">
        <v>0.83765786452353619</v>
      </c>
      <c r="L67" s="487">
        <v>0.82965821389195149</v>
      </c>
      <c r="M67" s="485">
        <v>0.78707276736493936</v>
      </c>
      <c r="N67" s="489">
        <f>1-('Evento Cotiz'!I114/'Evento Cotiz'!L114)</f>
        <v>0.62428243398392658</v>
      </c>
      <c r="O67" s="511">
        <f>+'Evento Cotiz'!L114-'Evento Cotiz'!I114</f>
        <v>4753.68</v>
      </c>
      <c r="P67" s="496"/>
    </row>
    <row r="68" spans="1:16" ht="24">
      <c r="A68" s="67">
        <v>207</v>
      </c>
      <c r="B68" s="456">
        <v>0.72417277090174292</v>
      </c>
      <c r="F68" s="67">
        <v>67</v>
      </c>
      <c r="G68" s="74" t="s">
        <v>86</v>
      </c>
      <c r="H68" s="457" t="e">
        <f t="shared" si="1"/>
        <v>#N/A</v>
      </c>
      <c r="I68" s="458"/>
      <c r="L68" s="487">
        <v>0.93644907289814583</v>
      </c>
      <c r="M68" s="485">
        <v>0.92056134112268229</v>
      </c>
      <c r="N68" s="489">
        <f>1-('Evento Cotiz'!I115/'Evento Cotiz'!L115)</f>
        <v>0.42905027932960904</v>
      </c>
      <c r="O68" s="511">
        <f>+'Evento Cotiz'!L115-'Evento Cotiz'!I115</f>
        <v>7133.7984000000015</v>
      </c>
      <c r="P68" s="496"/>
    </row>
    <row r="69" spans="1:16" ht="24">
      <c r="A69" s="67">
        <v>281</v>
      </c>
      <c r="B69" s="456">
        <v>0.77957034677760084</v>
      </c>
      <c r="F69" s="67">
        <v>68</v>
      </c>
      <c r="G69" s="74" t="s">
        <v>87</v>
      </c>
      <c r="H69" s="457" t="e">
        <f t="shared" si="1"/>
        <v>#N/A</v>
      </c>
      <c r="I69" s="458"/>
      <c r="L69" s="487">
        <v>0.9409487845173472</v>
      </c>
      <c r="M69" s="485">
        <v>0.926185980646684</v>
      </c>
      <c r="N69" s="489">
        <f>1-('Evento Cotiz'!I116/'Evento Cotiz'!L116)</f>
        <v>0.42286205414697042</v>
      </c>
      <c r="O69" s="511">
        <f>+'Evento Cotiz'!L116-'Evento Cotiz'!I116</f>
        <v>7527.2064000000009</v>
      </c>
      <c r="P69" s="496"/>
    </row>
    <row r="70" spans="1:16" ht="24">
      <c r="A70" s="67">
        <v>163</v>
      </c>
      <c r="B70" s="456">
        <v>0.69530223943424818</v>
      </c>
      <c r="F70" s="67">
        <v>69</v>
      </c>
      <c r="G70" s="74" t="s">
        <v>88</v>
      </c>
      <c r="H70" s="457">
        <f t="shared" si="1"/>
        <v>0.88505233208007317</v>
      </c>
      <c r="I70" s="458">
        <v>0.88505233208007317</v>
      </c>
      <c r="L70" s="487">
        <v>0.88040638606676347</v>
      </c>
      <c r="M70" s="485">
        <v>0.85050798258345428</v>
      </c>
      <c r="N70" s="489">
        <f>1-('Evento Cotiz'!I117/'Evento Cotiz'!L117)</f>
        <v>0.61304745452697895</v>
      </c>
      <c r="O70" s="511">
        <f>+'Evento Cotiz'!L117-'Evento Cotiz'!I117</f>
        <v>6592.8624</v>
      </c>
      <c r="P70" s="496"/>
    </row>
    <row r="71" spans="1:16" ht="24">
      <c r="A71" s="67">
        <v>249</v>
      </c>
      <c r="B71" s="456">
        <v>0.71270718232044206</v>
      </c>
      <c r="F71" s="67">
        <v>70</v>
      </c>
      <c r="G71" s="74" t="s">
        <v>89</v>
      </c>
      <c r="H71" s="457">
        <f t="shared" si="1"/>
        <v>0.8885187740218784</v>
      </c>
      <c r="I71" s="458">
        <v>0.8885187740218784</v>
      </c>
      <c r="L71" s="487">
        <v>0.88333018689824427</v>
      </c>
      <c r="M71" s="485">
        <v>0.85416273362280537</v>
      </c>
      <c r="N71" s="489">
        <f>1-('Evento Cotiz'!I118/'Evento Cotiz'!L118)</f>
        <v>0.62471666502414502</v>
      </c>
      <c r="O71" s="511">
        <f>+'Evento Cotiz'!L118-'Evento Cotiz'!I118</f>
        <v>6927.2591999999986</v>
      </c>
      <c r="P71" s="496"/>
    </row>
    <row r="72" spans="1:16" ht="96">
      <c r="A72" s="67">
        <v>87</v>
      </c>
      <c r="B72" s="456">
        <v>0.87714587418916878</v>
      </c>
      <c r="F72" s="67">
        <v>71</v>
      </c>
      <c r="G72" s="74" t="s">
        <v>90</v>
      </c>
      <c r="H72" s="457" t="e">
        <f t="shared" si="1"/>
        <v>#N/A</v>
      </c>
      <c r="I72" s="458"/>
      <c r="L72" s="487">
        <v>0.85522322517687244</v>
      </c>
      <c r="M72" s="485">
        <v>0.81902903147109052</v>
      </c>
      <c r="N72" s="489">
        <f>1-('Evento Cotiz'!I119/'Evento Cotiz'!L119)</f>
        <v>0.54495857749040211</v>
      </c>
      <c r="O72" s="511">
        <f>+'Evento Cotiz'!L119-'Evento Cotiz'!I119</f>
        <v>11789.126400000001</v>
      </c>
      <c r="P72" s="496"/>
    </row>
    <row r="73" spans="1:16" ht="48">
      <c r="A73" s="67">
        <v>108</v>
      </c>
      <c r="B73" s="456">
        <v>0.67023661270236623</v>
      </c>
      <c r="F73" s="67">
        <v>72</v>
      </c>
      <c r="G73" s="74" t="s">
        <v>91</v>
      </c>
      <c r="H73" s="457">
        <f t="shared" si="1"/>
        <v>0.76410714285714287</v>
      </c>
      <c r="I73" s="458">
        <v>0.76410714285714287</v>
      </c>
      <c r="L73" s="487">
        <v>0.75410813111962538</v>
      </c>
      <c r="M73" s="485">
        <v>0.69263516389953173</v>
      </c>
      <c r="N73" s="489">
        <f>1-('Evento Cotiz'!I120/'Evento Cotiz'!L120)</f>
        <v>0.21116071428571426</v>
      </c>
      <c r="O73" s="511">
        <f>+'Evento Cotiz'!L120-'Evento Cotiz'!I120</f>
        <v>1033.7887999999998</v>
      </c>
      <c r="P73" s="496"/>
    </row>
    <row r="74" spans="1:16" ht="48">
      <c r="A74" s="67">
        <v>107</v>
      </c>
      <c r="B74" s="456">
        <v>0.68368617683686184</v>
      </c>
      <c r="F74" s="67">
        <v>73</v>
      </c>
      <c r="G74" s="74" t="s">
        <v>92</v>
      </c>
      <c r="H74" s="457" t="e">
        <f t="shared" si="1"/>
        <v>#N/A</v>
      </c>
      <c r="I74" s="458"/>
      <c r="L74" s="487">
        <v>0.95698513431278798</v>
      </c>
      <c r="M74" s="485">
        <v>0.94623141789098497</v>
      </c>
      <c r="N74" s="489">
        <f>1-('Evento Cotiz'!I121/'Evento Cotiz'!L121)</f>
        <v>0.47311243889190668</v>
      </c>
      <c r="O74" s="511">
        <f>+'Evento Cotiz'!L121-'Evento Cotiz'!I121</f>
        <v>11421.945600000003</v>
      </c>
      <c r="P74" s="496"/>
    </row>
    <row r="75" spans="1:16">
      <c r="A75" s="67">
        <v>169</v>
      </c>
      <c r="B75" s="456">
        <v>0.97032356755678228</v>
      </c>
      <c r="F75" s="67">
        <v>74</v>
      </c>
      <c r="G75" s="74" t="s">
        <v>93</v>
      </c>
      <c r="H75" s="457" t="e">
        <f t="shared" si="1"/>
        <v>#N/A</v>
      </c>
      <c r="I75" s="458"/>
      <c r="L75" s="487">
        <v>0.94996626636081505</v>
      </c>
      <c r="M75" s="485">
        <v>0.93745783295101881</v>
      </c>
      <c r="N75" s="489">
        <f>1-('Evento Cotiz'!I122/'Evento Cotiz'!L122)</f>
        <v>0.78223536036036034</v>
      </c>
      <c r="O75" s="511">
        <f>+'Evento Cotiz'!L122-'Evento Cotiz'!I122</f>
        <v>12145.379199999999</v>
      </c>
      <c r="P75" s="496"/>
    </row>
    <row r="76" spans="1:16" ht="24">
      <c r="A76" s="67">
        <v>160</v>
      </c>
      <c r="B76" s="456">
        <v>0.67119680225723011</v>
      </c>
      <c r="F76" s="67">
        <v>75</v>
      </c>
      <c r="G76" s="74" t="s">
        <v>94</v>
      </c>
      <c r="H76" s="457">
        <f t="shared" si="1"/>
        <v>0.75146443514644345</v>
      </c>
      <c r="I76" s="458">
        <v>0.75146443514644345</v>
      </c>
      <c r="L76" s="487">
        <v>0.73909547738693471</v>
      </c>
      <c r="M76" s="485">
        <v>0.67386934673366827</v>
      </c>
      <c r="N76" s="489">
        <f>1-('Evento Cotiz'!I123/'Evento Cotiz'!L123)</f>
        <v>0.6406903765690376</v>
      </c>
      <c r="O76" s="511">
        <f>+'Evento Cotiz'!L123-'Evento Cotiz'!I123</f>
        <v>1338.6799999999998</v>
      </c>
      <c r="P76" s="496"/>
    </row>
    <row r="77" spans="1:16" ht="24">
      <c r="A77" s="67">
        <v>106</v>
      </c>
      <c r="B77" s="456">
        <v>0.68598130841121496</v>
      </c>
      <c r="F77" s="67">
        <v>76</v>
      </c>
      <c r="G77" s="74" t="s">
        <v>95</v>
      </c>
      <c r="H77" s="457" t="e">
        <f t="shared" si="1"/>
        <v>#N/A</v>
      </c>
      <c r="I77" s="458"/>
      <c r="L77" s="487">
        <v>0.81273666092943198</v>
      </c>
      <c r="M77" s="485">
        <v>0.76592082616179002</v>
      </c>
      <c r="N77" s="489">
        <f>1-('Evento Cotiz'!I124/'Evento Cotiz'!L124)</f>
        <v>0.41428571428571426</v>
      </c>
      <c r="O77" s="511">
        <f>+'Evento Cotiz'!L124-'Evento Cotiz'!I124</f>
        <v>507.05919999999992</v>
      </c>
      <c r="P77" s="496"/>
    </row>
    <row r="78" spans="1:16" ht="24">
      <c r="A78" s="67">
        <v>77</v>
      </c>
      <c r="B78" s="456">
        <v>0.57068965517241388</v>
      </c>
      <c r="F78" s="67">
        <v>77</v>
      </c>
      <c r="G78" s="74" t="s">
        <v>96</v>
      </c>
      <c r="H78" s="457">
        <f t="shared" si="1"/>
        <v>0.57068965517241388</v>
      </c>
      <c r="I78" s="458">
        <v>0.57068965517241388</v>
      </c>
      <c r="L78" s="487">
        <v>0.5485477178423237</v>
      </c>
      <c r="M78" s="485">
        <v>0.43568464730290457</v>
      </c>
      <c r="N78" s="489">
        <f>1-('Evento Cotiz'!I125/'Evento Cotiz'!L125)</f>
        <v>0.35775862068965514</v>
      </c>
      <c r="O78" s="511">
        <f>+'Evento Cotiz'!L125-'Evento Cotiz'!I125</f>
        <v>181.40479999999997</v>
      </c>
      <c r="P78" s="496"/>
    </row>
    <row r="79" spans="1:16" ht="24">
      <c r="A79" s="67">
        <v>90</v>
      </c>
      <c r="B79" s="456">
        <v>0.86351351351351346</v>
      </c>
      <c r="F79" s="67">
        <v>78</v>
      </c>
      <c r="G79" s="74" t="s">
        <v>97</v>
      </c>
      <c r="H79" s="457" t="e">
        <f t="shared" si="1"/>
        <v>#N/A</v>
      </c>
      <c r="I79" s="458"/>
      <c r="L79" s="487">
        <v>0.82841015992474132</v>
      </c>
      <c r="M79" s="485">
        <v>0.78551269990592665</v>
      </c>
      <c r="N79" s="489">
        <f>1-('Evento Cotiz'!I126/'Evento Cotiz'!L126)</f>
        <v>0.80272108843537415</v>
      </c>
      <c r="O79" s="511">
        <f>+'Evento Cotiz'!L126-'Evento Cotiz'!I126</f>
        <v>902.65279999999996</v>
      </c>
      <c r="P79" s="496"/>
    </row>
    <row r="80" spans="1:16" ht="24">
      <c r="A80" s="67">
        <v>98</v>
      </c>
      <c r="B80" s="456">
        <v>0.59727117680500297</v>
      </c>
      <c r="F80" s="67">
        <v>79</v>
      </c>
      <c r="G80" s="74" t="s">
        <v>98</v>
      </c>
      <c r="H80" s="457" t="e">
        <f t="shared" si="1"/>
        <v>#N/A</v>
      </c>
      <c r="I80" s="458"/>
      <c r="L80" s="487">
        <v>0.77466307277628033</v>
      </c>
      <c r="M80" s="485">
        <v>0.71832884097035032</v>
      </c>
      <c r="N80" s="489">
        <f>1-('Evento Cotiz'!I127/'Evento Cotiz'!L127)</f>
        <v>0.11840228245363749</v>
      </c>
      <c r="O80" s="511">
        <f>+'Evento Cotiz'!L127-'Evento Cotiz'!I127</f>
        <v>90.702399999999898</v>
      </c>
      <c r="P80" s="496"/>
    </row>
    <row r="81" spans="1:16" ht="24">
      <c r="A81" s="67">
        <v>109</v>
      </c>
      <c r="B81" s="456">
        <v>0.77219512195121953</v>
      </c>
      <c r="F81" s="67">
        <v>80</v>
      </c>
      <c r="G81" s="74" t="s">
        <v>99</v>
      </c>
      <c r="H81" s="457" t="e">
        <f t="shared" si="1"/>
        <v>#N/A</v>
      </c>
      <c r="I81" s="458"/>
      <c r="L81" s="487">
        <v>0.84705882352941175</v>
      </c>
      <c r="M81" s="485">
        <v>0.80882352941176472</v>
      </c>
      <c r="N81" s="489">
        <f>1-('Evento Cotiz'!I128/'Evento Cotiz'!L128)</f>
        <v>0.42087542087542085</v>
      </c>
      <c r="O81" s="511">
        <f>+'Evento Cotiz'!L128-'Evento Cotiz'!I128</f>
        <v>546.4</v>
      </c>
      <c r="P81" s="496"/>
    </row>
    <row r="82" spans="1:16" ht="24">
      <c r="A82" s="67">
        <v>371</v>
      </c>
      <c r="B82" s="456">
        <v>0.99342216899114222</v>
      </c>
      <c r="F82" s="67">
        <v>81</v>
      </c>
      <c r="G82" s="74" t="s">
        <v>100</v>
      </c>
      <c r="H82" s="457" t="e">
        <f t="shared" si="1"/>
        <v>#N/A</v>
      </c>
      <c r="I82" s="458"/>
      <c r="L82" s="487">
        <v>0.7247058823529412</v>
      </c>
      <c r="M82" s="485">
        <v>0.65588235294117647</v>
      </c>
      <c r="N82" s="489">
        <f>1-('Evento Cotiz'!I129/'Evento Cotiz'!L129)</f>
        <v>0.53798449612403099</v>
      </c>
      <c r="O82" s="511">
        <f>+'Evento Cotiz'!L129-'Evento Cotiz'!I129</f>
        <v>379.20159999999998</v>
      </c>
      <c r="P82" s="496"/>
    </row>
    <row r="83" spans="1:16">
      <c r="A83" s="67">
        <v>201</v>
      </c>
      <c r="B83" s="456">
        <v>0.56447039199332782</v>
      </c>
      <c r="F83" s="67">
        <v>82</v>
      </c>
      <c r="G83" s="74" t="s">
        <v>101</v>
      </c>
      <c r="H83" s="457">
        <f t="shared" si="1"/>
        <v>0.58249893481039627</v>
      </c>
      <c r="I83" s="458">
        <v>0.58249893481039627</v>
      </c>
      <c r="L83" s="487">
        <v>0.64466177669111646</v>
      </c>
      <c r="M83" s="485">
        <v>0.55582722086389569</v>
      </c>
      <c r="N83" s="489">
        <f>1-('Evento Cotiz'!I130/'Evento Cotiz'!L130)</f>
        <v>0.45675330208777165</v>
      </c>
      <c r="O83" s="511">
        <f>+'Evento Cotiz'!L130-'Evento Cotiz'!I130</f>
        <v>2342.9631999999997</v>
      </c>
      <c r="P83" s="496"/>
    </row>
    <row r="84" spans="1:16">
      <c r="A84" s="67">
        <v>203</v>
      </c>
      <c r="B84" s="456">
        <v>0.68694241686942425</v>
      </c>
      <c r="F84" s="67">
        <v>83</v>
      </c>
      <c r="G84" s="74" t="s">
        <v>102</v>
      </c>
      <c r="H84" s="457" t="e">
        <f t="shared" si="1"/>
        <v>#N/A</v>
      </c>
      <c r="I84" s="458"/>
      <c r="L84" s="487">
        <v>0.65161805833000397</v>
      </c>
      <c r="M84" s="485">
        <v>0.56452257291250496</v>
      </c>
      <c r="N84" s="489">
        <f>1-('Evento Cotiz'!I131/'Evento Cotiz'!L131)</f>
        <v>0.47084457356297993</v>
      </c>
      <c r="O84" s="511">
        <f>+'Evento Cotiz'!L131-'Evento Cotiz'!I131</f>
        <v>2479.5632000000001</v>
      </c>
      <c r="P84" s="496"/>
    </row>
    <row r="85" spans="1:16">
      <c r="A85" s="67">
        <v>164</v>
      </c>
      <c r="B85" s="456">
        <v>0.92391274895000675</v>
      </c>
      <c r="F85" s="67">
        <v>84</v>
      </c>
      <c r="G85" s="74" t="s">
        <v>103</v>
      </c>
      <c r="H85" s="457">
        <f t="shared" si="1"/>
        <v>0.63627733900364525</v>
      </c>
      <c r="I85" s="458">
        <v>0.63627733900364525</v>
      </c>
      <c r="L85" s="487">
        <v>0.6937838233143192</v>
      </c>
      <c r="M85" s="485">
        <v>0.61722977914289889</v>
      </c>
      <c r="N85" s="489">
        <f>1-('Evento Cotiz'!I132/'Evento Cotiz'!L132)</f>
        <v>0.58034629404617255</v>
      </c>
      <c r="O85" s="511">
        <f>+'Evento Cotiz'!L132-'Evento Cotiz'!I132</f>
        <v>4175.5888000000004</v>
      </c>
      <c r="P85" s="496"/>
    </row>
    <row r="86" spans="1:16">
      <c r="A86" s="67">
        <v>302</v>
      </c>
      <c r="B86" s="456">
        <v>0.97985502883655151</v>
      </c>
      <c r="F86" s="67">
        <v>85</v>
      </c>
      <c r="G86" s="74" t="s">
        <v>104</v>
      </c>
      <c r="H86" s="457" t="e">
        <f t="shared" si="1"/>
        <v>#N/A</v>
      </c>
      <c r="I86" s="458"/>
      <c r="L86" s="487">
        <v>0.69315550344423271</v>
      </c>
      <c r="M86" s="485">
        <v>0.61644437930529095</v>
      </c>
      <c r="N86" s="489">
        <f>1-('Evento Cotiz'!I133/'Evento Cotiz'!L133)</f>
        <v>0.57654921020656136</v>
      </c>
      <c r="O86" s="511">
        <f>+'Evento Cotiz'!L133-'Evento Cotiz'!I133</f>
        <v>4148.2687999999998</v>
      </c>
      <c r="P86" s="496"/>
    </row>
    <row r="87" spans="1:16">
      <c r="A87" s="67">
        <v>204</v>
      </c>
      <c r="B87" s="456">
        <v>0.83311267556302759</v>
      </c>
      <c r="F87" s="67">
        <v>86</v>
      </c>
      <c r="G87" s="74" t="s">
        <v>105</v>
      </c>
      <c r="H87" s="457" t="e">
        <f t="shared" si="1"/>
        <v>#N/A</v>
      </c>
      <c r="I87" s="458"/>
      <c r="L87" s="487">
        <v>0.69832604931145381</v>
      </c>
      <c r="M87" s="485">
        <v>0.62290756163931715</v>
      </c>
      <c r="N87" s="489">
        <f>1-('Evento Cotiz'!I134/'Evento Cotiz'!L134)</f>
        <v>0.52381769805166933</v>
      </c>
      <c r="O87" s="511">
        <f>+'Evento Cotiz'!L134-'Evento Cotiz'!I134</f>
        <v>6669.3583999999992</v>
      </c>
      <c r="P87" s="496"/>
    </row>
    <row r="88" spans="1:16" ht="36">
      <c r="A88" s="67"/>
      <c r="B88" s="456"/>
      <c r="F88" s="67">
        <v>87</v>
      </c>
      <c r="G88" s="74" t="s">
        <v>106</v>
      </c>
      <c r="H88" s="457">
        <f t="shared" si="1"/>
        <v>0.87714587418916878</v>
      </c>
      <c r="I88" s="458">
        <v>0.87714587418916878</v>
      </c>
      <c r="L88" s="487">
        <v>0.61438682652029475</v>
      </c>
      <c r="M88" s="485">
        <v>0.51798353315036838</v>
      </c>
      <c r="N88" s="489">
        <f>1-('Evento Cotiz'!I135/'Evento Cotiz'!L135)</f>
        <v>0.20365062603710959</v>
      </c>
      <c r="O88" s="511">
        <f>+'Evento Cotiz'!L135-'Evento Cotiz'!I135</f>
        <v>1475.2799999999997</v>
      </c>
      <c r="P88" s="496"/>
    </row>
    <row r="89" spans="1:16" ht="36">
      <c r="A89" s="67"/>
      <c r="B89" s="456"/>
      <c r="F89" s="67">
        <v>88</v>
      </c>
      <c r="G89" s="74" t="s">
        <v>107</v>
      </c>
      <c r="H89" s="457" t="e">
        <f t="shared" si="1"/>
        <v>#N/A</v>
      </c>
      <c r="I89" s="458"/>
      <c r="L89" s="487">
        <v>0.7363546014708805</v>
      </c>
      <c r="M89" s="485">
        <v>0.67044325183860065</v>
      </c>
      <c r="N89" s="489">
        <f>1-('Evento Cotiz'!I136/'Evento Cotiz'!L136)</f>
        <v>0.43448275862068964</v>
      </c>
      <c r="O89" s="511">
        <f>+'Evento Cotiz'!L136-'Evento Cotiz'!I136</f>
        <v>2271.9312</v>
      </c>
      <c r="P89" s="496"/>
    </row>
    <row r="90" spans="1:16">
      <c r="A90" s="67"/>
      <c r="B90" s="456"/>
      <c r="F90" s="67">
        <v>89</v>
      </c>
      <c r="G90" s="74" t="s">
        <v>108</v>
      </c>
      <c r="H90" s="457" t="e">
        <f t="shared" si="1"/>
        <v>#N/A</v>
      </c>
      <c r="I90" s="458"/>
      <c r="L90" s="487">
        <v>0.66027700831024927</v>
      </c>
      <c r="M90" s="485">
        <v>0.57534626038781167</v>
      </c>
      <c r="N90" s="489">
        <f>1-('Evento Cotiz'!I137/'Evento Cotiz'!L137)</f>
        <v>0.48405797101449277</v>
      </c>
      <c r="O90" s="511">
        <f>+'Evento Cotiz'!L137-'Evento Cotiz'!I137</f>
        <v>1824.9759999999999</v>
      </c>
      <c r="P90" s="496"/>
    </row>
    <row r="91" spans="1:16">
      <c r="A91" s="67"/>
      <c r="B91" s="456"/>
      <c r="F91" s="67">
        <v>90</v>
      </c>
      <c r="G91" s="74" t="s">
        <v>109</v>
      </c>
      <c r="H91" s="457">
        <f t="shared" si="1"/>
        <v>0.86351351351351346</v>
      </c>
      <c r="I91" s="458">
        <v>0.86351351351351346</v>
      </c>
      <c r="L91" s="487">
        <v>0.85640284303096015</v>
      </c>
      <c r="M91" s="485">
        <v>0.82050355378870021</v>
      </c>
      <c r="N91" s="489">
        <f>1-('Evento Cotiz'!I138/'Evento Cotiz'!L138)</f>
        <v>0.33765015015015021</v>
      </c>
      <c r="O91" s="511">
        <f>+'Evento Cotiz'!L138-'Evento Cotiz'!I138</f>
        <v>5897.8416000000016</v>
      </c>
      <c r="P91" s="496"/>
    </row>
    <row r="92" spans="1:16">
      <c r="A92" s="67"/>
      <c r="B92" s="456"/>
      <c r="F92" s="67">
        <v>91</v>
      </c>
      <c r="G92" s="74" t="s">
        <v>110</v>
      </c>
      <c r="H92" s="457" t="e">
        <f t="shared" si="1"/>
        <v>#N/A</v>
      </c>
      <c r="I92" s="458"/>
      <c r="L92" s="487">
        <v>0.87595564497262901</v>
      </c>
      <c r="M92" s="485">
        <v>0.84494455621578624</v>
      </c>
      <c r="N92" s="489">
        <f>1-('Evento Cotiz'!I139/'Evento Cotiz'!L139)</f>
        <v>0.35120879120879123</v>
      </c>
      <c r="O92" s="511">
        <f>+'Evento Cotiz'!L139-'Evento Cotiz'!I139</f>
        <v>7858.3248000000021</v>
      </c>
      <c r="P92" s="496"/>
    </row>
    <row r="93" spans="1:16">
      <c r="A93" s="67"/>
      <c r="B93" s="456"/>
      <c r="F93" s="67">
        <v>92</v>
      </c>
      <c r="G93" s="74" t="s">
        <v>111</v>
      </c>
      <c r="H93" s="457">
        <f t="shared" si="1"/>
        <v>0.60724457102171603</v>
      </c>
      <c r="I93" s="458">
        <v>0.60724457102171603</v>
      </c>
      <c r="L93" s="487">
        <v>0.60068267152121968</v>
      </c>
      <c r="M93" s="485">
        <v>0.50085333940152466</v>
      </c>
      <c r="N93" s="489">
        <f>1-('Evento Cotiz'!I140/'Evento Cotiz'!L140)</f>
        <v>0.53376053162454018</v>
      </c>
      <c r="O93" s="511">
        <f>+'Evento Cotiz'!L140-'Evento Cotiz'!I140</f>
        <v>4915.4144000000006</v>
      </c>
      <c r="P93" s="496"/>
    </row>
    <row r="94" spans="1:16">
      <c r="A94" s="67"/>
      <c r="B94" s="456"/>
      <c r="F94" s="67">
        <v>93</v>
      </c>
      <c r="G94" s="74" t="s">
        <v>112</v>
      </c>
      <c r="H94" s="457" t="e">
        <f t="shared" si="1"/>
        <v>#N/A</v>
      </c>
      <c r="I94" s="458"/>
      <c r="L94" s="487">
        <v>0.57906295754026349</v>
      </c>
      <c r="M94" s="485">
        <v>0.47382869692532947</v>
      </c>
      <c r="N94" s="489">
        <f>1-('Evento Cotiz'!I141/'Evento Cotiz'!L141)</f>
        <v>0.46681352360884976</v>
      </c>
      <c r="O94" s="511">
        <f>+'Evento Cotiz'!L141-'Evento Cotiz'!I141</f>
        <v>5326.3072000000011</v>
      </c>
      <c r="P94" s="496"/>
    </row>
    <row r="95" spans="1:16">
      <c r="A95" s="67"/>
      <c r="B95" s="456"/>
      <c r="F95" s="67">
        <v>94</v>
      </c>
      <c r="G95" s="74" t="s">
        <v>113</v>
      </c>
      <c r="H95" s="457">
        <f t="shared" si="1"/>
        <v>0.65818082605775685</v>
      </c>
      <c r="I95" s="458">
        <v>0.65818082605775685</v>
      </c>
      <c r="L95" s="487">
        <v>0.61682408977153469</v>
      </c>
      <c r="M95" s="485">
        <v>0.52103011221441831</v>
      </c>
      <c r="N95" s="489">
        <f>1-('Evento Cotiz'!I142/'Evento Cotiz'!L142)</f>
        <v>0.56363331094694424</v>
      </c>
      <c r="O95" s="511">
        <f>+'Evento Cotiz'!L142-'Evento Cotiz'!I142</f>
        <v>7337.0592000000006</v>
      </c>
      <c r="P95" s="496"/>
    </row>
    <row r="96" spans="1:16">
      <c r="A96" s="67"/>
      <c r="B96" s="456"/>
      <c r="F96" s="67">
        <v>95</v>
      </c>
      <c r="G96" s="74" t="s">
        <v>114</v>
      </c>
      <c r="H96" s="457">
        <f t="shared" si="1"/>
        <v>0.81876840464230038</v>
      </c>
      <c r="I96" s="458">
        <v>0.81876840464230038</v>
      </c>
      <c r="L96" s="487">
        <v>0.7988121425428949</v>
      </c>
      <c r="M96" s="485">
        <v>0.74851517817861857</v>
      </c>
      <c r="N96" s="489">
        <f>1-('Evento Cotiz'!I143/'Evento Cotiz'!L143)</f>
        <v>0.4632484554535482</v>
      </c>
      <c r="O96" s="511">
        <f>+'Evento Cotiz'!L143-'Evento Cotiz'!I143</f>
        <v>8767.5344000000005</v>
      </c>
      <c r="P96" s="496"/>
    </row>
    <row r="97" spans="1:16" ht="36">
      <c r="A97" s="67"/>
      <c r="B97" s="456"/>
      <c r="F97" s="67">
        <v>96</v>
      </c>
      <c r="G97" s="74" t="s">
        <v>115</v>
      </c>
      <c r="H97" s="457" t="e">
        <f t="shared" si="1"/>
        <v>#N/A</v>
      </c>
      <c r="I97" s="458"/>
      <c r="L97" s="487">
        <v>0.73950039032006254</v>
      </c>
      <c r="M97" s="485">
        <v>0.67437548790007806</v>
      </c>
      <c r="N97" s="489">
        <f>1-('Evento Cotiz'!I144/'Evento Cotiz'!L144)</f>
        <v>0.46110657411188238</v>
      </c>
      <c r="O97" s="511">
        <f>+'Evento Cotiz'!L144-'Evento Cotiz'!I144</f>
        <v>4936.1775999999991</v>
      </c>
      <c r="P97" s="496"/>
    </row>
    <row r="98" spans="1:16" ht="36">
      <c r="A98" s="67"/>
      <c r="B98" s="456"/>
      <c r="F98" s="67">
        <v>97</v>
      </c>
      <c r="G98" s="74" t="s">
        <v>116</v>
      </c>
      <c r="H98" s="457">
        <f t="shared" si="1"/>
        <v>0.74094051110180148</v>
      </c>
      <c r="I98" s="458">
        <v>0.74094051110180148</v>
      </c>
      <c r="L98" s="487">
        <v>0.73440128153784534</v>
      </c>
      <c r="M98" s="485">
        <v>0.66800160192230673</v>
      </c>
      <c r="N98" s="489">
        <f>1-('Evento Cotiz'!I145/'Evento Cotiz'!L145)</f>
        <v>0.43317972350230427</v>
      </c>
      <c r="O98" s="511">
        <f>+'Evento Cotiz'!L145-'Evento Cotiz'!I145</f>
        <v>2259.9104000000007</v>
      </c>
      <c r="P98" s="496"/>
    </row>
    <row r="99" spans="1:16" ht="60">
      <c r="A99" s="67"/>
      <c r="B99" s="456"/>
      <c r="F99" s="67">
        <v>98</v>
      </c>
      <c r="G99" s="74" t="s">
        <v>117</v>
      </c>
      <c r="H99" s="457">
        <f t="shared" si="1"/>
        <v>0.59727117680500297</v>
      </c>
      <c r="I99" s="458">
        <v>0.59727117680500297</v>
      </c>
      <c r="L99" s="487">
        <v>0.68361705025194064</v>
      </c>
      <c r="M99" s="485">
        <v>0.60452131281492583</v>
      </c>
      <c r="N99" s="489">
        <f>1-('Evento Cotiz'!I146/'Evento Cotiz'!L146)</f>
        <v>0.48251847640704948</v>
      </c>
      <c r="O99" s="511">
        <f>+'Evento Cotiz'!L146-'Evento Cotiz'!I146</f>
        <v>3710.0560000000005</v>
      </c>
      <c r="P99" s="496"/>
    </row>
    <row r="100" spans="1:16">
      <c r="A100" s="67"/>
      <c r="B100" s="456"/>
      <c r="F100" s="67">
        <v>99</v>
      </c>
      <c r="G100" s="74" t="s">
        <v>118</v>
      </c>
      <c r="H100" s="457" t="e">
        <f t="shared" si="1"/>
        <v>#N/A</v>
      </c>
      <c r="I100" s="458"/>
      <c r="L100" s="487">
        <v>0.63777632619383229</v>
      </c>
      <c r="M100" s="485">
        <v>0.54722040774229042</v>
      </c>
      <c r="N100" s="489">
        <f>1-('Evento Cotiz'!I147/'Evento Cotiz'!L147)</f>
        <v>0.63367269301836893</v>
      </c>
      <c r="O100" s="511">
        <f>+'Evento Cotiz'!L147-'Evento Cotiz'!I147</f>
        <v>19113.072</v>
      </c>
      <c r="P100" s="496"/>
    </row>
    <row r="101" spans="1:16">
      <c r="A101" s="67"/>
      <c r="B101" s="456"/>
      <c r="F101" s="67">
        <v>100</v>
      </c>
      <c r="G101" s="74" t="s">
        <v>119</v>
      </c>
      <c r="H101" s="457" t="e">
        <f t="shared" si="1"/>
        <v>#N/A</v>
      </c>
      <c r="I101" s="458"/>
      <c r="L101" s="487">
        <v>0.6356090475202324</v>
      </c>
      <c r="M101" s="485">
        <v>0.54451130940029047</v>
      </c>
      <c r="N101" s="489">
        <f>1-('Evento Cotiz'!I148/'Evento Cotiz'!L148)</f>
        <v>0.63591516329984521</v>
      </c>
      <c r="O101" s="511">
        <f>+'Evento Cotiz'!L148-'Evento Cotiz'!I148</f>
        <v>19298.847999999998</v>
      </c>
      <c r="P101" s="496"/>
    </row>
    <row r="102" spans="1:16">
      <c r="A102" s="67"/>
      <c r="B102" s="456"/>
      <c r="F102" s="67">
        <v>101</v>
      </c>
      <c r="G102" s="74" t="s">
        <v>120</v>
      </c>
      <c r="H102" s="457" t="e">
        <f t="shared" si="1"/>
        <v>#N/A</v>
      </c>
      <c r="I102" s="458"/>
      <c r="L102" s="487">
        <v>0.67664036752222112</v>
      </c>
      <c r="M102" s="485">
        <v>0.59580045940277637</v>
      </c>
      <c r="N102" s="489">
        <f>1-('Evento Cotiz'!I149/'Evento Cotiz'!L149)</f>
        <v>0.55804427852957939</v>
      </c>
      <c r="O102" s="511">
        <f>+'Evento Cotiz'!L149-'Evento Cotiz'!I149</f>
        <v>23523.612799999995</v>
      </c>
      <c r="P102" s="496"/>
    </row>
    <row r="103" spans="1:16">
      <c r="A103" s="67"/>
      <c r="B103" s="456"/>
      <c r="F103" s="67">
        <v>102</v>
      </c>
      <c r="G103" s="74" t="s">
        <v>121</v>
      </c>
      <c r="H103" s="457" t="e">
        <f t="shared" si="1"/>
        <v>#N/A</v>
      </c>
      <c r="I103" s="458"/>
      <c r="L103" s="487">
        <v>0.68009880202544148</v>
      </c>
      <c r="M103" s="485">
        <v>0.60012350253180191</v>
      </c>
      <c r="N103" s="489">
        <f>1-('Evento Cotiz'!I150/'Evento Cotiz'!L150)</f>
        <v>0.55791821175738399</v>
      </c>
      <c r="O103" s="511">
        <f>+'Evento Cotiz'!L150-'Evento Cotiz'!I150</f>
        <v>23511.591999999997</v>
      </c>
      <c r="P103" s="496"/>
    </row>
    <row r="104" spans="1:16">
      <c r="A104" s="67"/>
      <c r="B104" s="456"/>
      <c r="F104" s="67">
        <v>103</v>
      </c>
      <c r="G104" s="74" t="s">
        <v>122</v>
      </c>
      <c r="H104" s="457" t="e">
        <f t="shared" si="1"/>
        <v>#N/A</v>
      </c>
      <c r="I104" s="458"/>
      <c r="L104" s="487">
        <v>0.72300456494674226</v>
      </c>
      <c r="M104" s="485">
        <v>0.65375570618342782</v>
      </c>
      <c r="N104" s="489">
        <f>1-('Evento Cotiz'!I151/'Evento Cotiz'!L151)</f>
        <v>0.70741941084553506</v>
      </c>
      <c r="O104" s="511">
        <f>+'Evento Cotiz'!L151-'Evento Cotiz'!I151</f>
        <v>26715.681600000004</v>
      </c>
      <c r="P104" s="496"/>
    </row>
    <row r="105" spans="1:16">
      <c r="A105" s="67"/>
      <c r="B105" s="456"/>
      <c r="F105" s="67">
        <v>104</v>
      </c>
      <c r="G105" s="74" t="s">
        <v>123</v>
      </c>
      <c r="H105" s="457" t="e">
        <f t="shared" si="1"/>
        <v>#N/A</v>
      </c>
      <c r="I105" s="458"/>
      <c r="L105" s="487">
        <v>0.79689432858411069</v>
      </c>
      <c r="M105" s="485">
        <v>0.74611791073013833</v>
      </c>
      <c r="N105" s="489">
        <f>1-('Evento Cotiz'!I152/'Evento Cotiz'!L152)</f>
        <v>0.19986026384589961</v>
      </c>
      <c r="O105" s="511">
        <f>+'Evento Cotiz'!L152-'Evento Cotiz'!I152</f>
        <v>29071.758400000006</v>
      </c>
      <c r="P105" s="496"/>
    </row>
    <row r="106" spans="1:16">
      <c r="A106" s="67"/>
      <c r="B106" s="456"/>
      <c r="F106" s="67">
        <v>105</v>
      </c>
      <c r="G106" s="74" t="s">
        <v>124</v>
      </c>
      <c r="H106" s="457" t="e">
        <f t="shared" si="1"/>
        <v>#N/A</v>
      </c>
      <c r="I106" s="458"/>
      <c r="L106" s="487">
        <v>0.99603348325521834</v>
      </c>
      <c r="M106" s="485">
        <v>0.9950418540690229</v>
      </c>
      <c r="N106" s="489">
        <f>1-('Evento Cotiz'!I153/'Evento Cotiz'!L153)</f>
        <v>0.41080941912740387</v>
      </c>
      <c r="O106" s="511">
        <f>+'Evento Cotiz'!L153-'Evento Cotiz'!I153</f>
        <v>68003.851200000005</v>
      </c>
      <c r="P106" s="496"/>
    </row>
    <row r="107" spans="1:16" ht="36">
      <c r="A107" s="67"/>
      <c r="B107" s="456"/>
      <c r="F107" s="67">
        <v>106</v>
      </c>
      <c r="G107" s="74" t="s">
        <v>125</v>
      </c>
      <c r="H107" s="457">
        <f t="shared" si="1"/>
        <v>0.68598130841121496</v>
      </c>
      <c r="I107" s="458">
        <v>0.68598130841121496</v>
      </c>
      <c r="L107" s="487">
        <v>0.66993780234968892</v>
      </c>
      <c r="M107" s="485">
        <v>0.58742225293711126</v>
      </c>
      <c r="N107" s="489">
        <f>1-('Evento Cotiz'!I154/'Evento Cotiz'!L154)</f>
        <v>0.28900071890726109</v>
      </c>
      <c r="O107" s="511">
        <f>+'Evento Cotiz'!L154-'Evento Cotiz'!I154</f>
        <v>439.30560000000014</v>
      </c>
      <c r="P107" s="496"/>
    </row>
    <row r="108" spans="1:16" ht="36">
      <c r="A108" s="67"/>
      <c r="B108" s="456"/>
      <c r="F108" s="67">
        <v>107</v>
      </c>
      <c r="G108" s="74" t="s">
        <v>126</v>
      </c>
      <c r="H108" s="457">
        <f t="shared" si="1"/>
        <v>0.68368617683686184</v>
      </c>
      <c r="I108" s="458">
        <v>0.68368617683686184</v>
      </c>
      <c r="L108" s="487">
        <v>0.66972040452111836</v>
      </c>
      <c r="M108" s="485">
        <v>0.58715050565139792</v>
      </c>
      <c r="N108" s="489">
        <f>1-('Evento Cotiz'!I155/'Evento Cotiz'!L155)</f>
        <v>0.38418430884184318</v>
      </c>
      <c r="O108" s="511">
        <f>+'Evento Cotiz'!L155-'Evento Cotiz'!I155</f>
        <v>674.25760000000014</v>
      </c>
      <c r="P108" s="496"/>
    </row>
    <row r="109" spans="1:16" ht="36">
      <c r="A109" s="67"/>
      <c r="B109" s="456"/>
      <c r="F109" s="67">
        <v>108</v>
      </c>
      <c r="G109" s="74" t="s">
        <v>127</v>
      </c>
      <c r="H109" s="457">
        <f t="shared" si="1"/>
        <v>0.67023661270236623</v>
      </c>
      <c r="I109" s="458">
        <v>0.67023661270236623</v>
      </c>
      <c r="L109" s="487">
        <v>0.65855962219598585</v>
      </c>
      <c r="M109" s="485">
        <v>0.57319952774498228</v>
      </c>
      <c r="N109" s="489">
        <f>1-('Evento Cotiz'!I156/'Evento Cotiz'!L156)</f>
        <v>0.38418430884184318</v>
      </c>
      <c r="O109" s="511">
        <f>+'Evento Cotiz'!L156-'Evento Cotiz'!I156</f>
        <v>674.25760000000014</v>
      </c>
      <c r="P109" s="496"/>
    </row>
    <row r="110" spans="1:16" ht="36">
      <c r="A110" s="67"/>
      <c r="B110" s="456"/>
      <c r="F110" s="67">
        <v>109</v>
      </c>
      <c r="G110" s="74" t="s">
        <v>128</v>
      </c>
      <c r="H110" s="457">
        <f t="shared" si="1"/>
        <v>0.77219512195121953</v>
      </c>
      <c r="I110" s="458">
        <v>0.77219512195121953</v>
      </c>
      <c r="L110" s="487">
        <v>0.76429809358752165</v>
      </c>
      <c r="M110" s="485">
        <v>0.70537261698440212</v>
      </c>
      <c r="N110" s="489">
        <f>1-('Evento Cotiz'!I157/'Evento Cotiz'!L157)</f>
        <v>0.33597560975609764</v>
      </c>
      <c r="O110" s="511">
        <f>+'Evento Cotiz'!L157-'Evento Cotiz'!I157</f>
        <v>602.13280000000009</v>
      </c>
      <c r="P110" s="496"/>
    </row>
    <row r="111" spans="1:16" ht="36">
      <c r="A111" s="67"/>
      <c r="B111" s="456"/>
      <c r="F111" s="67">
        <v>110</v>
      </c>
      <c r="G111" s="74" t="s">
        <v>129</v>
      </c>
      <c r="H111" s="457" t="e">
        <f t="shared" si="1"/>
        <v>#N/A</v>
      </c>
      <c r="I111" s="458"/>
      <c r="L111" s="487">
        <v>0.63523067705212699</v>
      </c>
      <c r="M111" s="485">
        <v>0.54403834631515879</v>
      </c>
      <c r="N111" s="489">
        <f>1-('Evento Cotiz'!I158/'Evento Cotiz'!L158)</f>
        <v>0.38418430884184318</v>
      </c>
      <c r="O111" s="511">
        <f>+'Evento Cotiz'!L158-'Evento Cotiz'!I158</f>
        <v>674.25760000000014</v>
      </c>
      <c r="P111" s="496"/>
    </row>
    <row r="112" spans="1:16" ht="36">
      <c r="A112" s="67"/>
      <c r="B112" s="456"/>
      <c r="F112" s="67">
        <v>111</v>
      </c>
      <c r="G112" s="74" t="s">
        <v>130</v>
      </c>
      <c r="H112" s="457" t="e">
        <f t="shared" si="1"/>
        <v>#N/A</v>
      </c>
      <c r="I112" s="458"/>
      <c r="L112" s="487">
        <v>0.64061393152302248</v>
      </c>
      <c r="M112" s="485">
        <v>0.55076741440377797</v>
      </c>
      <c r="N112" s="489">
        <f>1-('Evento Cotiz'!I159/'Evento Cotiz'!L159)</f>
        <v>0.38418430884184318</v>
      </c>
      <c r="O112" s="511">
        <f>+'Evento Cotiz'!L159-'Evento Cotiz'!I159</f>
        <v>674.25760000000014</v>
      </c>
      <c r="P112" s="496"/>
    </row>
    <row r="113" spans="1:16" ht="36">
      <c r="A113" s="67"/>
      <c r="B113" s="456"/>
      <c r="F113" s="67">
        <v>112</v>
      </c>
      <c r="G113" s="74" t="s">
        <v>131</v>
      </c>
      <c r="H113" s="457">
        <f t="shared" si="1"/>
        <v>0.6584206848357792</v>
      </c>
      <c r="I113" s="458">
        <v>0.6584206848357792</v>
      </c>
      <c r="L113" s="487">
        <v>0.64304812834224601</v>
      </c>
      <c r="M113" s="485">
        <v>0.55381016042780751</v>
      </c>
      <c r="N113" s="489">
        <f>1-('Evento Cotiz'!I160/'Evento Cotiz'!L160)</f>
        <v>0.32983927323549966</v>
      </c>
      <c r="O113" s="511">
        <f>+'Evento Cotiz'!L160-'Evento Cotiz'!I160</f>
        <v>1031.6032</v>
      </c>
      <c r="P113" s="496"/>
    </row>
    <row r="114" spans="1:16" ht="36">
      <c r="A114" s="67"/>
      <c r="B114" s="456"/>
      <c r="F114" s="67">
        <v>113</v>
      </c>
      <c r="G114" s="74" t="s">
        <v>132</v>
      </c>
      <c r="H114" s="457">
        <f t="shared" si="1"/>
        <v>0.68714544357272178</v>
      </c>
      <c r="I114" s="458">
        <v>0.68714544357272178</v>
      </c>
      <c r="L114" s="487">
        <v>0.67269575267263804</v>
      </c>
      <c r="M114" s="485">
        <v>0.59086969084079743</v>
      </c>
      <c r="N114" s="489">
        <f>1-('Evento Cotiz'!I161/'Evento Cotiz'!L161)</f>
        <v>0.4212432106216053</v>
      </c>
      <c r="O114" s="511">
        <f>+'Evento Cotiz'!L161-'Evento Cotiz'!I161</f>
        <v>1525.5488</v>
      </c>
      <c r="P114" s="496"/>
    </row>
    <row r="115" spans="1:16" ht="36">
      <c r="A115" s="67"/>
      <c r="B115" s="456"/>
      <c r="F115" s="67">
        <v>114</v>
      </c>
      <c r="G115" s="74" t="s">
        <v>133</v>
      </c>
      <c r="H115" s="457">
        <f t="shared" si="1"/>
        <v>0.72643799472295512</v>
      </c>
      <c r="I115" s="458">
        <v>0.72643799472295512</v>
      </c>
      <c r="L115" s="487">
        <v>0.71365015166835188</v>
      </c>
      <c r="M115" s="485">
        <v>0.64206268958543977</v>
      </c>
      <c r="N115" s="489">
        <f>1-('Evento Cotiz'!I162/'Evento Cotiz'!L162)</f>
        <v>0.49393139841688649</v>
      </c>
      <c r="O115" s="511">
        <f>+'Evento Cotiz'!L162-'Evento Cotiz'!I162</f>
        <v>2045.7215999999994</v>
      </c>
      <c r="P115" s="496"/>
    </row>
    <row r="116" spans="1:16" ht="36">
      <c r="A116" s="67"/>
      <c r="B116" s="456"/>
      <c r="F116" s="67">
        <v>115</v>
      </c>
      <c r="G116" s="74" t="s">
        <v>134</v>
      </c>
      <c r="H116" s="457">
        <f t="shared" si="1"/>
        <v>0.74538310412573672</v>
      </c>
      <c r="I116" s="458">
        <v>0.74538310412573672</v>
      </c>
      <c r="L116" s="487">
        <v>0.73668061366806137</v>
      </c>
      <c r="M116" s="485">
        <v>0.67085076708507674</v>
      </c>
      <c r="N116" s="489">
        <f>1-('Evento Cotiz'!I163/'Evento Cotiz'!L163)</f>
        <v>0.48207269155206278</v>
      </c>
      <c r="O116" s="511">
        <f>+'Evento Cotiz'!L163-'Evento Cotiz'!I163</f>
        <v>2145.1663999999996</v>
      </c>
      <c r="P116" s="496"/>
    </row>
    <row r="117" spans="1:16" ht="36">
      <c r="A117" s="67"/>
      <c r="B117" s="456"/>
      <c r="F117" s="67">
        <v>116</v>
      </c>
      <c r="G117" s="74" t="s">
        <v>135</v>
      </c>
      <c r="H117" s="457" t="e">
        <f t="shared" si="1"/>
        <v>#N/A</v>
      </c>
      <c r="I117" s="458"/>
      <c r="L117" s="487">
        <v>0.72729898892633615</v>
      </c>
      <c r="M117" s="485">
        <v>0.65912373615792008</v>
      </c>
      <c r="N117" s="489">
        <f>1-('Evento Cotiz'!I164/'Evento Cotiz'!L164)</f>
        <v>0.51833249623304867</v>
      </c>
      <c r="O117" s="511">
        <f>+'Evento Cotiz'!L164-'Evento Cotiz'!I164</f>
        <v>2255.5391999999997</v>
      </c>
      <c r="P117" s="496"/>
    </row>
    <row r="118" spans="1:16" ht="36">
      <c r="A118" s="67"/>
      <c r="B118" s="456"/>
      <c r="F118" s="67">
        <v>117</v>
      </c>
      <c r="G118" s="74" t="s">
        <v>136</v>
      </c>
      <c r="H118" s="457" t="e">
        <f t="shared" si="1"/>
        <v>#N/A</v>
      </c>
      <c r="I118" s="458"/>
      <c r="L118" s="487">
        <v>0.71630353117956425</v>
      </c>
      <c r="M118" s="485">
        <v>0.64537941397445531</v>
      </c>
      <c r="N118" s="489">
        <f>1-('Evento Cotiz'!I165/'Evento Cotiz'!L165)</f>
        <v>0.49829976458278835</v>
      </c>
      <c r="O118" s="511">
        <f>+'Evento Cotiz'!L165-'Evento Cotiz'!I165</f>
        <v>2081.7840000000001</v>
      </c>
      <c r="P118" s="496"/>
    </row>
    <row r="119" spans="1:16" ht="36">
      <c r="A119" s="112"/>
      <c r="B119" s="112"/>
      <c r="F119" s="67">
        <v>118</v>
      </c>
      <c r="G119" s="74" t="s">
        <v>137</v>
      </c>
      <c r="H119" s="457">
        <f t="shared" si="1"/>
        <v>0.6763898581065364</v>
      </c>
      <c r="I119" s="458">
        <v>0.6763898581065364</v>
      </c>
      <c r="L119" s="487">
        <v>0.72305624019717674</v>
      </c>
      <c r="M119" s="485">
        <v>0.65382030024647098</v>
      </c>
      <c r="N119" s="489">
        <f>1-('Evento Cotiz'!I166/'Evento Cotiz'!L166)</f>
        <v>7.7227262153989229E-2</v>
      </c>
      <c r="O119" s="511">
        <f>+'Evento Cotiz'!L166-'Evento Cotiz'!I166</f>
        <v>362.80959999999959</v>
      </c>
      <c r="P119" s="496"/>
    </row>
    <row r="120" spans="1:16" ht="36">
      <c r="A120" s="112"/>
      <c r="B120" s="112"/>
      <c r="F120" s="67">
        <v>119</v>
      </c>
      <c r="G120" s="74" t="s">
        <v>138</v>
      </c>
      <c r="H120" s="457">
        <f t="shared" si="1"/>
        <v>0.70596401599289205</v>
      </c>
      <c r="I120" s="458">
        <v>0.70596401599289205</v>
      </c>
      <c r="L120" s="487">
        <v>0.72333756882676825</v>
      </c>
      <c r="M120" s="485">
        <v>0.65417196103346043</v>
      </c>
      <c r="N120" s="489">
        <f>1-('Evento Cotiz'!I167/'Evento Cotiz'!L167)</f>
        <v>0.11883607285650821</v>
      </c>
      <c r="O120" s="511">
        <f>+'Evento Cotiz'!L167-'Evento Cotiz'!I167</f>
        <v>584.64800000000014</v>
      </c>
      <c r="P120" s="496"/>
    </row>
    <row r="121" spans="1:16" ht="36">
      <c r="A121" s="112"/>
      <c r="B121" s="112"/>
      <c r="F121" s="67">
        <v>120</v>
      </c>
      <c r="G121" s="74" t="s">
        <v>139</v>
      </c>
      <c r="H121" s="457">
        <f t="shared" si="1"/>
        <v>0.7042312526183494</v>
      </c>
      <c r="I121" s="458">
        <v>0.7042312526183494</v>
      </c>
      <c r="L121" s="487">
        <v>0.74032995428344262</v>
      </c>
      <c r="M121" s="485">
        <v>0.67541244285430335</v>
      </c>
      <c r="N121" s="489">
        <f>1-('Evento Cotiz'!I168/'Evento Cotiz'!L168)</f>
        <v>0.16904063678257231</v>
      </c>
      <c r="O121" s="511">
        <f>+'Evento Cotiz'!L168-'Evento Cotiz'!I168</f>
        <v>881.88960000000043</v>
      </c>
      <c r="P121" s="496"/>
    </row>
    <row r="122" spans="1:16" ht="36">
      <c r="A122" s="112"/>
      <c r="B122" s="112"/>
      <c r="F122" s="67">
        <v>121</v>
      </c>
      <c r="G122" s="74" t="s">
        <v>140</v>
      </c>
      <c r="H122" s="457">
        <f t="shared" si="1"/>
        <v>0.78843215714805381</v>
      </c>
      <c r="I122" s="458">
        <v>0.78843215714805381</v>
      </c>
      <c r="L122" s="487">
        <v>0.7759605216778287</v>
      </c>
      <c r="M122" s="485">
        <v>0.71995065209728581</v>
      </c>
      <c r="N122" s="489">
        <f>1-('Evento Cotiz'!I169/'Evento Cotiz'!L169)</f>
        <v>0.20916696980720262</v>
      </c>
      <c r="O122" s="511">
        <f>+'Evento Cotiz'!L169-'Evento Cotiz'!I169</f>
        <v>1256.7200000000003</v>
      </c>
      <c r="P122" s="496"/>
    </row>
    <row r="123" spans="1:16" ht="36">
      <c r="A123" s="112"/>
      <c r="B123" s="112"/>
      <c r="F123" s="67">
        <v>122</v>
      </c>
      <c r="G123" s="74" t="s">
        <v>141</v>
      </c>
      <c r="H123" s="457" t="e">
        <f t="shared" si="1"/>
        <v>#N/A</v>
      </c>
      <c r="I123" s="458"/>
      <c r="L123" s="487">
        <v>0.74222573007103398</v>
      </c>
      <c r="M123" s="485">
        <v>0.67778216258879243</v>
      </c>
      <c r="N123" s="489">
        <f>1-('Evento Cotiz'!I170/'Evento Cotiz'!L170)</f>
        <v>0.17680016600954551</v>
      </c>
      <c r="O123" s="511">
        <f>+'Evento Cotiz'!L170-'Evento Cotiz'!I170</f>
        <v>931.0655999999999</v>
      </c>
      <c r="P123" s="496"/>
    </row>
    <row r="124" spans="1:16" ht="36">
      <c r="A124" s="112"/>
      <c r="B124" s="112"/>
      <c r="F124" s="67">
        <v>123</v>
      </c>
      <c r="G124" s="74" t="s">
        <v>142</v>
      </c>
      <c r="H124" s="457" t="e">
        <f t="shared" si="1"/>
        <v>#N/A</v>
      </c>
      <c r="I124" s="458"/>
      <c r="L124" s="487">
        <v>0.74161392405063287</v>
      </c>
      <c r="M124" s="485">
        <v>0.67701740506329111</v>
      </c>
      <c r="N124" s="489">
        <f>1-('Evento Cotiz'!I171/'Evento Cotiz'!L171)</f>
        <v>0.1807104502271788</v>
      </c>
      <c r="O124" s="511">
        <f>+'Evento Cotiz'!L171-'Evento Cotiz'!I171</f>
        <v>956.19999999999982</v>
      </c>
      <c r="P124" s="496"/>
    </row>
    <row r="125" spans="1:16" ht="36">
      <c r="A125" s="112"/>
      <c r="B125" s="112"/>
      <c r="F125" s="67">
        <v>124</v>
      </c>
      <c r="G125" s="74" t="s">
        <v>143</v>
      </c>
      <c r="H125" s="457">
        <f t="shared" si="1"/>
        <v>0.76711199076364833</v>
      </c>
      <c r="I125" s="458">
        <v>0.76711199076364833</v>
      </c>
      <c r="L125" s="487">
        <v>0.75473617291799111</v>
      </c>
      <c r="M125" s="485">
        <v>0.69342021614748894</v>
      </c>
      <c r="N125" s="489">
        <f>1-('Evento Cotiz'!I172/'Evento Cotiz'!L172)</f>
        <v>0.12749463961735108</v>
      </c>
      <c r="O125" s="511">
        <f>+'Evento Cotiz'!L172-'Evento Cotiz'!I172</f>
        <v>844.73439999999937</v>
      </c>
      <c r="P125" s="496"/>
    </row>
    <row r="126" spans="1:16" ht="36">
      <c r="A126" s="112"/>
      <c r="B126" s="112"/>
      <c r="F126" s="67">
        <v>125</v>
      </c>
      <c r="G126" s="74" t="s">
        <v>144</v>
      </c>
      <c r="H126" s="457">
        <f t="shared" si="1"/>
        <v>0.68366269422235626</v>
      </c>
      <c r="I126" s="458">
        <v>0.68366269422235626</v>
      </c>
      <c r="L126" s="487">
        <v>0.64758471521268923</v>
      </c>
      <c r="M126" s="485">
        <v>0.55948089401586154</v>
      </c>
      <c r="N126" s="489">
        <f>1-('Evento Cotiz'!I173/'Evento Cotiz'!L173)</f>
        <v>0.20199125056569611</v>
      </c>
      <c r="O126" s="511">
        <f>+'Evento Cotiz'!L173-'Evento Cotiz'!I173</f>
        <v>1463.2591999999995</v>
      </c>
      <c r="P126" s="496"/>
    </row>
    <row r="127" spans="1:16" ht="36">
      <c r="A127" s="112"/>
      <c r="B127" s="112"/>
      <c r="F127" s="67">
        <v>126</v>
      </c>
      <c r="G127" s="74" t="s">
        <v>145</v>
      </c>
      <c r="H127" s="457">
        <f t="shared" si="1"/>
        <v>0.67962226640159051</v>
      </c>
      <c r="I127" s="458">
        <v>0.67962226640159051</v>
      </c>
      <c r="L127" s="487">
        <v>0.67239635995955505</v>
      </c>
      <c r="M127" s="485">
        <v>0.59049544994944392</v>
      </c>
      <c r="N127" s="489">
        <f>1-('Evento Cotiz'!I174/'Evento Cotiz'!L174)</f>
        <v>0.29887342611000656</v>
      </c>
      <c r="O127" s="511">
        <f>+'Evento Cotiz'!L174-'Evento Cotiz'!I174</f>
        <v>2464.2639999999992</v>
      </c>
      <c r="P127" s="496"/>
    </row>
    <row r="128" spans="1:16" ht="36">
      <c r="A128" s="112"/>
      <c r="B128" s="112"/>
      <c r="F128" s="67">
        <v>127</v>
      </c>
      <c r="G128" s="74" t="s">
        <v>146</v>
      </c>
      <c r="H128" s="457">
        <f t="shared" si="1"/>
        <v>0.80072404531122277</v>
      </c>
      <c r="I128" s="458">
        <v>0.80072404531122277</v>
      </c>
      <c r="L128" s="487">
        <v>0.79018901890189019</v>
      </c>
      <c r="M128" s="485">
        <v>0.73773627362736272</v>
      </c>
      <c r="N128" s="489">
        <f>1-('Evento Cotiz'!I175/'Evento Cotiz'!L175)</f>
        <v>0.32290085250496314</v>
      </c>
      <c r="O128" s="511">
        <f>+'Evento Cotiz'!L175-'Evento Cotiz'!I175</f>
        <v>3021.5919999999996</v>
      </c>
      <c r="P128" s="496"/>
    </row>
    <row r="129" spans="1:16" ht="36">
      <c r="A129" s="112"/>
      <c r="B129" s="112"/>
      <c r="F129" s="67">
        <v>128</v>
      </c>
      <c r="G129" s="74" t="s">
        <v>147</v>
      </c>
      <c r="H129" s="457" t="e">
        <f t="shared" si="1"/>
        <v>#N/A</v>
      </c>
      <c r="I129" s="458"/>
      <c r="L129" s="487">
        <v>0.70408138252236796</v>
      </c>
      <c r="M129" s="485">
        <v>0.63010172815295995</v>
      </c>
      <c r="N129" s="489">
        <f>1-('Evento Cotiz'!I176/'Evento Cotiz'!L176)</f>
        <v>0.31868556701030937</v>
      </c>
      <c r="O129" s="511">
        <f>+'Evento Cotiz'!L176-'Evento Cotiz'!I176</f>
        <v>2702.4944000000005</v>
      </c>
      <c r="P129" s="496"/>
    </row>
    <row r="130" spans="1:16" ht="36">
      <c r="A130" s="112"/>
      <c r="B130" s="112"/>
      <c r="F130" s="67">
        <v>129</v>
      </c>
      <c r="G130" s="74" t="s">
        <v>148</v>
      </c>
      <c r="H130" s="457" t="e">
        <f t="shared" si="1"/>
        <v>#N/A</v>
      </c>
      <c r="I130" s="458"/>
      <c r="L130" s="487">
        <v>0.73277600196705195</v>
      </c>
      <c r="M130" s="485">
        <v>0.66597000245881488</v>
      </c>
      <c r="N130" s="489">
        <f>1-('Evento Cotiz'!I177/'Evento Cotiz'!L177)</f>
        <v>0.32261370916079435</v>
      </c>
      <c r="O130" s="511">
        <f>+'Evento Cotiz'!L177-'Evento Cotiz'!I177</f>
        <v>2751.6704</v>
      </c>
      <c r="P130" s="496"/>
    </row>
    <row r="131" spans="1:16">
      <c r="A131" s="112"/>
      <c r="B131" s="112"/>
      <c r="F131" s="67">
        <v>130</v>
      </c>
      <c r="G131" s="74" t="s">
        <v>149</v>
      </c>
      <c r="H131" s="457">
        <f t="shared" ref="H131:H194" si="2">VLOOKUP(F131,$A$2:$B$431,2,0)</f>
        <v>0.644475138121547</v>
      </c>
      <c r="I131" s="458">
        <v>0.644475138121547</v>
      </c>
      <c r="L131" s="487">
        <v>0.6249391727493917</v>
      </c>
      <c r="M131" s="485">
        <v>0.5311739659367396</v>
      </c>
      <c r="N131" s="489">
        <f>1-('Evento Cotiz'!I178/'Evento Cotiz'!L178)</f>
        <v>0.40015785319652719</v>
      </c>
      <c r="O131" s="511">
        <f>+'Evento Cotiz'!L178-'Evento Cotiz'!I178</f>
        <v>2770.2479999999996</v>
      </c>
      <c r="P131" s="496"/>
    </row>
    <row r="132" spans="1:16">
      <c r="A132" s="112"/>
      <c r="B132" s="112"/>
      <c r="F132" s="67">
        <v>131</v>
      </c>
      <c r="G132" s="74" t="s">
        <v>150</v>
      </c>
      <c r="H132" s="457" t="e">
        <f t="shared" si="2"/>
        <v>#N/A</v>
      </c>
      <c r="I132" s="458"/>
      <c r="L132" s="487">
        <v>0.6249391727493917</v>
      </c>
      <c r="M132" s="485">
        <v>0.5311739659367396</v>
      </c>
      <c r="N132" s="489">
        <f>1-('Evento Cotiz'!I179/'Evento Cotiz'!L179)</f>
        <v>0.43552234059468919</v>
      </c>
      <c r="O132" s="511">
        <f>+'Evento Cotiz'!L179-'Evento Cotiz'!I179</f>
        <v>2993.1792</v>
      </c>
      <c r="P132" s="496"/>
    </row>
    <row r="133" spans="1:16">
      <c r="A133" s="112"/>
      <c r="B133" s="112"/>
      <c r="F133" s="67">
        <v>132</v>
      </c>
      <c r="G133" s="74" t="s">
        <v>151</v>
      </c>
      <c r="H133" s="457">
        <f t="shared" si="2"/>
        <v>0.62708541280479113</v>
      </c>
      <c r="I133" s="458">
        <v>0.62708541280479113</v>
      </c>
      <c r="L133" s="487">
        <v>0.58195529960235848</v>
      </c>
      <c r="M133" s="485">
        <v>0.47744412450294804</v>
      </c>
      <c r="N133" s="489">
        <f>1-('Evento Cotiz'!I180/'Evento Cotiz'!L180)</f>
        <v>0.40510480536147142</v>
      </c>
      <c r="O133" s="511">
        <f>+'Evento Cotiz'!L180-'Evento Cotiz'!I180</f>
        <v>3104.6447999999991</v>
      </c>
      <c r="P133" s="496"/>
    </row>
    <row r="134" spans="1:16">
      <c r="A134" s="112"/>
      <c r="B134" s="112"/>
      <c r="F134" s="67">
        <v>133</v>
      </c>
      <c r="G134" s="74" t="s">
        <v>152</v>
      </c>
      <c r="H134" s="457">
        <f t="shared" si="2"/>
        <v>0.64023955511193498</v>
      </c>
      <c r="I134" s="458">
        <v>0.64023955511193498</v>
      </c>
      <c r="L134" s="487">
        <v>0.59609943689053702</v>
      </c>
      <c r="M134" s="485">
        <v>0.49512429611317121</v>
      </c>
      <c r="N134" s="489">
        <f>1-('Evento Cotiz'!I181/'Evento Cotiz'!L181)</f>
        <v>0.3537715670896906</v>
      </c>
      <c r="O134" s="511">
        <f>+'Evento Cotiz'!L181-'Evento Cotiz'!I181</f>
        <v>2711.2367999999997</v>
      </c>
      <c r="P134" s="496"/>
    </row>
    <row r="135" spans="1:16">
      <c r="A135" s="112"/>
      <c r="B135" s="112"/>
      <c r="F135" s="67">
        <v>134</v>
      </c>
      <c r="G135" s="74" t="s">
        <v>153</v>
      </c>
      <c r="H135" s="457">
        <f t="shared" si="2"/>
        <v>0.7240547588005215</v>
      </c>
      <c r="I135" s="458">
        <v>0.7240547588005215</v>
      </c>
      <c r="L135" s="487">
        <v>0.692943372744244</v>
      </c>
      <c r="M135" s="485">
        <v>0.61617921593030489</v>
      </c>
      <c r="N135" s="489">
        <f>1-('Evento Cotiz'!I182/'Evento Cotiz'!L182)</f>
        <v>0.32451108213820079</v>
      </c>
      <c r="O135" s="511">
        <f>+'Evento Cotiz'!L182-'Evento Cotiz'!I182</f>
        <v>2719.9791999999998</v>
      </c>
      <c r="P135" s="496"/>
    </row>
    <row r="136" spans="1:16">
      <c r="A136" s="112"/>
      <c r="B136" s="112"/>
      <c r="F136" s="67">
        <v>135</v>
      </c>
      <c r="G136" s="74" t="s">
        <v>154</v>
      </c>
      <c r="H136" s="457" t="e">
        <f t="shared" si="2"/>
        <v>#N/A</v>
      </c>
      <c r="I136" s="458"/>
      <c r="L136" s="487">
        <v>0.64801665799062991</v>
      </c>
      <c r="M136" s="485">
        <v>0.56002082248828733</v>
      </c>
      <c r="N136" s="489">
        <f>1-('Evento Cotiz'!I183/'Evento Cotiz'!L183)</f>
        <v>0.7155516941789748</v>
      </c>
      <c r="O136" s="511">
        <f>+'Evento Cotiz'!L183-'Evento Cotiz'!I183</f>
        <v>36001.203200000004</v>
      </c>
      <c r="P136" s="496"/>
    </row>
    <row r="137" spans="1:16">
      <c r="A137" s="112"/>
      <c r="B137" s="112"/>
      <c r="F137" s="67">
        <v>136</v>
      </c>
      <c r="G137" s="74" t="s">
        <v>155</v>
      </c>
      <c r="H137" s="457" t="e">
        <f t="shared" si="2"/>
        <v>#N/A</v>
      </c>
      <c r="I137" s="458"/>
      <c r="L137" s="487">
        <v>0.65668974495532284</v>
      </c>
      <c r="M137" s="485">
        <v>0.57086218119415344</v>
      </c>
      <c r="N137" s="489">
        <f>1-('Evento Cotiz'!I184/'Evento Cotiz'!L184)</f>
        <v>0.4224280718974297</v>
      </c>
      <c r="O137" s="511">
        <f>+'Evento Cotiz'!L184-'Evento Cotiz'!I184</f>
        <v>7525.0208000000021</v>
      </c>
      <c r="P137" s="496"/>
    </row>
    <row r="138" spans="1:16">
      <c r="A138" s="112"/>
      <c r="B138" s="112"/>
      <c r="F138" s="67">
        <v>137</v>
      </c>
      <c r="G138" s="74" t="s">
        <v>156</v>
      </c>
      <c r="H138" s="457" t="e">
        <f t="shared" si="2"/>
        <v>#N/A</v>
      </c>
      <c r="I138" s="458"/>
      <c r="L138" s="487">
        <v>0.55925328416685871</v>
      </c>
      <c r="M138" s="485">
        <v>0.44906660520857344</v>
      </c>
      <c r="N138" s="489">
        <f>1-('Evento Cotiz'!I185/'Evento Cotiz'!L185)</f>
        <v>0.38006267136701932</v>
      </c>
      <c r="O138" s="511">
        <f>+'Evento Cotiz'!L185-'Evento Cotiz'!I185</f>
        <v>13784.469920000003</v>
      </c>
      <c r="P138" s="496"/>
    </row>
    <row r="139" spans="1:16">
      <c r="A139" s="112"/>
      <c r="B139" s="112"/>
      <c r="F139" s="67">
        <v>138</v>
      </c>
      <c r="G139" s="74" t="s">
        <v>157</v>
      </c>
      <c r="H139" s="457" t="e">
        <f t="shared" si="2"/>
        <v>#N/A</v>
      </c>
      <c r="I139" s="458"/>
      <c r="L139" s="487">
        <v>0.74744661095636022</v>
      </c>
      <c r="M139" s="485">
        <v>0.68430826369545028</v>
      </c>
      <c r="N139" s="489">
        <f>1-('Evento Cotiz'!I186/'Evento Cotiz'!L186)</f>
        <v>0.18943949963916273</v>
      </c>
      <c r="O139" s="511">
        <f>+'Evento Cotiz'!L186-'Evento Cotiz'!I186</f>
        <v>1721.1599999999989</v>
      </c>
      <c r="P139" s="496"/>
    </row>
    <row r="140" spans="1:16" ht="24">
      <c r="A140" s="112"/>
      <c r="B140" s="112"/>
      <c r="F140" s="67">
        <v>139</v>
      </c>
      <c r="G140" s="74" t="s">
        <v>158</v>
      </c>
      <c r="H140" s="457" t="e">
        <f t="shared" si="2"/>
        <v>#N/A</v>
      </c>
      <c r="I140" s="458"/>
      <c r="L140" s="487">
        <v>0.65137633420152197</v>
      </c>
      <c r="M140" s="485">
        <v>0.56422041775190235</v>
      </c>
      <c r="N140" s="489">
        <f>1-('Evento Cotiz'!I187/'Evento Cotiz'!L187)</f>
        <v>0.38387356013929819</v>
      </c>
      <c r="O140" s="511">
        <f>+'Evento Cotiz'!L187-'Evento Cotiz'!I187</f>
        <v>7829.9120000000003</v>
      </c>
      <c r="P140" s="496"/>
    </row>
    <row r="141" spans="1:16" ht="24">
      <c r="A141" s="112"/>
      <c r="B141" s="112"/>
      <c r="F141" s="67">
        <v>140</v>
      </c>
      <c r="G141" s="74" t="s">
        <v>159</v>
      </c>
      <c r="H141" s="457" t="e">
        <f t="shared" si="2"/>
        <v>#N/A</v>
      </c>
      <c r="I141" s="458"/>
      <c r="L141" s="487">
        <v>0.61651843377495663</v>
      </c>
      <c r="M141" s="485">
        <v>0.52064804221869587</v>
      </c>
      <c r="N141" s="489">
        <f>1-('Evento Cotiz'!I188/'Evento Cotiz'!L188)</f>
        <v>0.55410802217827926</v>
      </c>
      <c r="O141" s="511">
        <f>+'Evento Cotiz'!L188-'Evento Cotiz'!I188</f>
        <v>15617.2048</v>
      </c>
      <c r="P141" s="496"/>
    </row>
    <row r="142" spans="1:16" ht="36">
      <c r="A142" s="112"/>
      <c r="B142" s="112"/>
      <c r="F142" s="67">
        <v>141</v>
      </c>
      <c r="G142" s="74" t="s">
        <v>160</v>
      </c>
      <c r="H142" s="457">
        <f t="shared" si="2"/>
        <v>0.58468882602545968</v>
      </c>
      <c r="I142" s="458">
        <v>0.58468882602545968</v>
      </c>
      <c r="L142" s="487">
        <v>0.65265651438240269</v>
      </c>
      <c r="M142" s="485">
        <v>0.56582064297800339</v>
      </c>
      <c r="N142" s="489">
        <f>1-('Evento Cotiz'!I189/'Evento Cotiz'!L189)</f>
        <v>0.41053748231966058</v>
      </c>
      <c r="O142" s="511">
        <f>+'Evento Cotiz'!L189-'Evento Cotiz'!I189</f>
        <v>1268.7408</v>
      </c>
      <c r="P142" s="496"/>
    </row>
    <row r="143" spans="1:16" ht="36">
      <c r="A143" s="112"/>
      <c r="B143" s="112"/>
      <c r="F143" s="67">
        <v>142</v>
      </c>
      <c r="G143" s="74" t="s">
        <v>161</v>
      </c>
      <c r="H143" s="457" t="e">
        <f t="shared" si="2"/>
        <v>#N/A</v>
      </c>
      <c r="I143" s="458"/>
      <c r="L143" s="487">
        <v>0.64150222788033107</v>
      </c>
      <c r="M143" s="485">
        <v>0.55187778485041372</v>
      </c>
      <c r="N143" s="489">
        <f>1-('Evento Cotiz'!I190/'Evento Cotiz'!L190)</f>
        <v>0.55105438401775808</v>
      </c>
      <c r="O143" s="511">
        <f>+'Evento Cotiz'!L190-'Evento Cotiz'!I190</f>
        <v>10851.504000000001</v>
      </c>
      <c r="P143" s="496"/>
    </row>
    <row r="144" spans="1:16" ht="36">
      <c r="A144" s="112"/>
      <c r="B144" s="112"/>
      <c r="F144" s="67">
        <v>143</v>
      </c>
      <c r="G144" s="74" t="s">
        <v>162</v>
      </c>
      <c r="H144" s="457">
        <f t="shared" si="2"/>
        <v>0.64366837816720612</v>
      </c>
      <c r="I144" s="458">
        <v>0.64366837816720612</v>
      </c>
      <c r="L144" s="487">
        <v>0.63792992606878818</v>
      </c>
      <c r="M144" s="485">
        <v>0.54741240758598519</v>
      </c>
      <c r="N144" s="489">
        <f>1-('Evento Cotiz'!I191/'Evento Cotiz'!L191)</f>
        <v>0.54849871637459535</v>
      </c>
      <c r="O144" s="511">
        <f>+'Evento Cotiz'!L191-'Evento Cotiz'!I191</f>
        <v>10740.038399999998</v>
      </c>
      <c r="P144" s="496"/>
    </row>
    <row r="145" spans="1:16" ht="36">
      <c r="A145" s="112"/>
      <c r="B145" s="112"/>
      <c r="F145" s="67">
        <v>144</v>
      </c>
      <c r="G145" s="74" t="s">
        <v>163</v>
      </c>
      <c r="H145" s="457">
        <f t="shared" si="2"/>
        <v>0.5871232876712329</v>
      </c>
      <c r="I145" s="458">
        <v>0.5871232876712329</v>
      </c>
      <c r="L145" s="487">
        <v>0.53862137395669174</v>
      </c>
      <c r="M145" s="485">
        <v>0.4232767174458647</v>
      </c>
      <c r="N145" s="489">
        <f>1-('Evento Cotiz'!I192/'Evento Cotiz'!L192)</f>
        <v>0.48140030441400294</v>
      </c>
      <c r="O145" s="511">
        <f>+'Evento Cotiz'!L192-'Evento Cotiz'!I192</f>
        <v>8640.7695999999978</v>
      </c>
      <c r="P145" s="496"/>
    </row>
    <row r="146" spans="1:16" ht="36">
      <c r="A146" s="112"/>
      <c r="B146" s="112"/>
      <c r="F146" s="67">
        <v>145</v>
      </c>
      <c r="G146" s="74" t="s">
        <v>164</v>
      </c>
      <c r="H146" s="457" t="e">
        <f t="shared" si="2"/>
        <v>#N/A</v>
      </c>
      <c r="I146" s="458"/>
      <c r="L146" s="487">
        <v>0.60051502908138343</v>
      </c>
      <c r="M146" s="485">
        <v>0.50064378635172935</v>
      </c>
      <c r="N146" s="489">
        <f>1-('Evento Cotiz'!I193/'Evento Cotiz'!L193)</f>
        <v>0.60136652938974167</v>
      </c>
      <c r="O146" s="511">
        <f>+'Evento Cotiz'!L193-'Evento Cotiz'!I193</f>
        <v>14042.480000000001</v>
      </c>
      <c r="P146" s="496"/>
    </row>
    <row r="147" spans="1:16" ht="36">
      <c r="A147" s="112"/>
      <c r="B147" s="112"/>
      <c r="F147" s="67">
        <v>146</v>
      </c>
      <c r="G147" s="74" t="s">
        <v>165</v>
      </c>
      <c r="H147" s="457">
        <f t="shared" si="2"/>
        <v>0.54996720475166716</v>
      </c>
      <c r="I147" s="458">
        <v>0.54996720475166716</v>
      </c>
      <c r="L147" s="487">
        <v>0.56390935241703499</v>
      </c>
      <c r="M147" s="485">
        <v>0.45488669052129371</v>
      </c>
      <c r="N147" s="489">
        <f>1-('Evento Cotiz'!I194/'Evento Cotiz'!L194)</f>
        <v>0.45796742338665597</v>
      </c>
      <c r="O147" s="511">
        <f>+'Evento Cotiz'!L194-'Evento Cotiz'!I194</f>
        <v>13734.3104</v>
      </c>
      <c r="P147" s="496"/>
    </row>
    <row r="148" spans="1:16" ht="36">
      <c r="A148" s="112"/>
      <c r="B148" s="112"/>
      <c r="F148" s="67">
        <v>147</v>
      </c>
      <c r="G148" s="74" t="s">
        <v>166</v>
      </c>
      <c r="H148" s="457" t="e">
        <f t="shared" si="2"/>
        <v>#N/A</v>
      </c>
      <c r="I148" s="458"/>
      <c r="L148" s="487">
        <v>0.61993431386548625</v>
      </c>
      <c r="M148" s="485">
        <v>0.52491789233185782</v>
      </c>
      <c r="N148" s="489">
        <f>1-('Evento Cotiz'!I195/'Evento Cotiz'!L195)</f>
        <v>0.38648988963780462</v>
      </c>
      <c r="O148" s="511">
        <f>+'Evento Cotiz'!L195-'Evento Cotiz'!I195</f>
        <v>11404.460800000001</v>
      </c>
      <c r="P148" s="496"/>
    </row>
    <row r="149" spans="1:16" ht="36">
      <c r="A149" s="112"/>
      <c r="B149" s="112"/>
      <c r="F149" s="67">
        <v>148</v>
      </c>
      <c r="G149" s="74" t="s">
        <v>167</v>
      </c>
      <c r="H149" s="457" t="e">
        <f t="shared" si="2"/>
        <v>#N/A</v>
      </c>
      <c r="I149" s="458"/>
      <c r="L149" s="487">
        <v>0.63574169093514543</v>
      </c>
      <c r="M149" s="485">
        <v>0.54467711366893168</v>
      </c>
      <c r="N149" s="489">
        <f>1-('Evento Cotiz'!I196/'Evento Cotiz'!L196)</f>
        <v>0.43448026948989416</v>
      </c>
      <c r="O149" s="511">
        <f>+'Evento Cotiz'!L196-'Evento Cotiz'!I196</f>
        <v>19732.689599999998</v>
      </c>
      <c r="P149" s="496"/>
    </row>
    <row r="150" spans="1:16" ht="36">
      <c r="A150" s="112"/>
      <c r="B150" s="112"/>
      <c r="F150" s="67">
        <v>149</v>
      </c>
      <c r="G150" s="74" t="s">
        <v>168</v>
      </c>
      <c r="H150" s="457" t="e">
        <f t="shared" si="2"/>
        <v>#N/A</v>
      </c>
      <c r="I150" s="458"/>
      <c r="L150" s="487">
        <v>0.57031463002344729</v>
      </c>
      <c r="M150" s="485">
        <v>0.46289328752930914</v>
      </c>
      <c r="N150" s="489">
        <f>1-('Evento Cotiz'!I197/'Evento Cotiz'!L197)</f>
        <v>0.28318934995043188</v>
      </c>
      <c r="O150" s="511">
        <f>+'Evento Cotiz'!L197-'Evento Cotiz'!I197</f>
        <v>10925.814399999996</v>
      </c>
      <c r="P150" s="496"/>
    </row>
    <row r="151" spans="1:16" ht="36">
      <c r="A151" s="112"/>
      <c r="B151" s="112"/>
      <c r="F151" s="67">
        <v>150</v>
      </c>
      <c r="G151" s="74" t="s">
        <v>169</v>
      </c>
      <c r="H151" s="457" t="e">
        <f t="shared" si="2"/>
        <v>#N/A</v>
      </c>
      <c r="I151" s="458"/>
      <c r="L151" s="487">
        <v>0.58423748301452916</v>
      </c>
      <c r="M151" s="485">
        <v>0.48029685376816134</v>
      </c>
      <c r="N151" s="489">
        <f>1-('Evento Cotiz'!I198/'Evento Cotiz'!L198)</f>
        <v>0.59051957913005748</v>
      </c>
      <c r="O151" s="511">
        <f>+'Evento Cotiz'!L198-'Evento Cotiz'!I198</f>
        <v>5949.2031999999999</v>
      </c>
      <c r="P151" s="496"/>
    </row>
    <row r="152" spans="1:16" ht="36">
      <c r="A152" s="112"/>
      <c r="B152" s="112"/>
      <c r="F152" s="67">
        <v>151</v>
      </c>
      <c r="G152" s="74" t="s">
        <v>170</v>
      </c>
      <c r="H152" s="457" t="e">
        <f t="shared" si="2"/>
        <v>#N/A</v>
      </c>
      <c r="I152" s="458"/>
      <c r="L152" s="487">
        <v>0.56232676534364101</v>
      </c>
      <c r="M152" s="485">
        <v>0.45290845667955126</v>
      </c>
      <c r="N152" s="489">
        <f>1-('Evento Cotiz'!I199/'Evento Cotiz'!L199)</f>
        <v>0.57228737557898879</v>
      </c>
      <c r="O152" s="511">
        <f>+'Evento Cotiz'!L199-'Evento Cotiz'!I199</f>
        <v>6345.8895999999986</v>
      </c>
      <c r="P152" s="496"/>
    </row>
    <row r="153" spans="1:16" ht="36">
      <c r="A153" s="112"/>
      <c r="B153" s="112"/>
      <c r="F153" s="67">
        <v>152</v>
      </c>
      <c r="G153" s="74" t="s">
        <v>171</v>
      </c>
      <c r="H153" s="457" t="e">
        <f t="shared" si="2"/>
        <v>#N/A</v>
      </c>
      <c r="I153" s="458"/>
      <c r="L153" s="487">
        <v>0.9598722446201372</v>
      </c>
      <c r="M153" s="485">
        <v>0.94984030577517142</v>
      </c>
      <c r="N153" s="489">
        <f>1-('Evento Cotiz'!I200/'Evento Cotiz'!L200)</f>
        <v>0.60973357594850763</v>
      </c>
      <c r="O153" s="511">
        <f>+'Evento Cotiz'!L200-'Evento Cotiz'!I200</f>
        <v>24534.452799999999</v>
      </c>
      <c r="P153" s="496"/>
    </row>
    <row r="154" spans="1:16" ht="36">
      <c r="A154" s="112"/>
      <c r="B154" s="112"/>
      <c r="F154" s="67">
        <v>153</v>
      </c>
      <c r="G154" s="74" t="s">
        <v>172</v>
      </c>
      <c r="H154" s="457" t="e">
        <f t="shared" si="2"/>
        <v>#N/A</v>
      </c>
      <c r="I154" s="458"/>
      <c r="L154" s="487">
        <v>0.83352113308343245</v>
      </c>
      <c r="M154" s="485">
        <v>0.79190141635429057</v>
      </c>
      <c r="N154" s="489">
        <f>1-('Evento Cotiz'!I201/'Evento Cotiz'!L201)</f>
        <v>0.62306384586324137</v>
      </c>
      <c r="O154" s="511">
        <f>+'Evento Cotiz'!L201-'Evento Cotiz'!I201</f>
        <v>28836.806399999998</v>
      </c>
      <c r="P154" s="496"/>
    </row>
    <row r="155" spans="1:16">
      <c r="A155" s="112"/>
      <c r="B155" s="112"/>
      <c r="F155" s="67">
        <v>154</v>
      </c>
      <c r="G155" s="74" t="s">
        <v>173</v>
      </c>
      <c r="H155" s="457" t="e">
        <f t="shared" si="2"/>
        <v>#N/A</v>
      </c>
      <c r="I155" s="458"/>
      <c r="L155" s="487">
        <v>0.71179673321234116</v>
      </c>
      <c r="M155" s="485">
        <v>0.63974591651542645</v>
      </c>
      <c r="N155" s="489">
        <f>1-('Evento Cotiz'!I202/'Evento Cotiz'!L202)</f>
        <v>0.55854753161974702</v>
      </c>
      <c r="O155" s="511">
        <f>+'Evento Cotiz'!L202-'Evento Cotiz'!I202</f>
        <v>4488.1296000000002</v>
      </c>
      <c r="P155" s="496"/>
    </row>
    <row r="156" spans="1:16" ht="36">
      <c r="A156" s="112"/>
      <c r="B156" s="112"/>
      <c r="F156" s="67">
        <v>155</v>
      </c>
      <c r="G156" s="74" t="s">
        <v>174</v>
      </c>
      <c r="H156" s="457">
        <f t="shared" si="2"/>
        <v>0.6569483380056067</v>
      </c>
      <c r="I156" s="458">
        <v>0.6569483380056067</v>
      </c>
      <c r="L156" s="487">
        <v>0.64031126909405323</v>
      </c>
      <c r="M156" s="485">
        <v>0.55038908636756645</v>
      </c>
      <c r="N156" s="489">
        <f>1-('Evento Cotiz'!I203/'Evento Cotiz'!L203)</f>
        <v>0.57108530236283539</v>
      </c>
      <c r="O156" s="511">
        <f>+'Evento Cotiz'!L203-'Evento Cotiz'!I203</f>
        <v>6233.3311999999996</v>
      </c>
      <c r="P156" s="496"/>
    </row>
    <row r="157" spans="1:16" ht="36">
      <c r="A157" s="112"/>
      <c r="B157" s="112"/>
      <c r="F157" s="67">
        <v>156</v>
      </c>
      <c r="G157" s="74" t="s">
        <v>175</v>
      </c>
      <c r="H157" s="457">
        <f t="shared" si="2"/>
        <v>0.71090607996214805</v>
      </c>
      <c r="I157" s="458">
        <v>0.71090607996214805</v>
      </c>
      <c r="L157" s="487">
        <v>0.67930361698934405</v>
      </c>
      <c r="M157" s="485">
        <v>0.59912952123668017</v>
      </c>
      <c r="N157" s="489">
        <f>1-('Evento Cotiz'!I204/'Evento Cotiz'!L204)</f>
        <v>0.55894645532686704</v>
      </c>
      <c r="O157" s="511">
        <f>+'Evento Cotiz'!L204-'Evento Cotiz'!I204</f>
        <v>7745.7664000000004</v>
      </c>
      <c r="P157" s="496"/>
    </row>
    <row r="158" spans="1:16" ht="36">
      <c r="A158" s="112"/>
      <c r="B158" s="112"/>
      <c r="F158" s="67">
        <v>157</v>
      </c>
      <c r="G158" s="74" t="s">
        <v>176</v>
      </c>
      <c r="H158" s="457" t="e">
        <f t="shared" si="2"/>
        <v>#N/A</v>
      </c>
      <c r="I158" s="458"/>
      <c r="L158" s="487">
        <v>0.56317268800987175</v>
      </c>
      <c r="M158" s="485">
        <v>0.45396586001233974</v>
      </c>
      <c r="N158" s="489">
        <f>1-('Evento Cotiz'!I205/'Evento Cotiz'!L205)</f>
        <v>0.47528625275584957</v>
      </c>
      <c r="O158" s="511">
        <f>+'Evento Cotiz'!L205-'Evento Cotiz'!I205</f>
        <v>7303.1824000000006</v>
      </c>
      <c r="P158" s="496"/>
    </row>
    <row r="159" spans="1:16" ht="36">
      <c r="A159" s="112"/>
      <c r="B159" s="112"/>
      <c r="F159" s="67">
        <v>158</v>
      </c>
      <c r="G159" s="74" t="s">
        <v>177</v>
      </c>
      <c r="H159" s="457" t="e">
        <f t="shared" si="2"/>
        <v>#N/A</v>
      </c>
      <c r="I159" s="458"/>
      <c r="L159" s="487">
        <v>0.60545355389929112</v>
      </c>
      <c r="M159" s="485">
        <v>0.50681694237411379</v>
      </c>
      <c r="N159" s="489">
        <f>1-('Evento Cotiz'!I206/'Evento Cotiz'!L206)</f>
        <v>0.45199078223018818</v>
      </c>
      <c r="O159" s="511">
        <f>+'Evento Cotiz'!L206-'Evento Cotiz'!I206</f>
        <v>7716.2608</v>
      </c>
      <c r="P159" s="496"/>
    </row>
    <row r="160" spans="1:16" ht="24">
      <c r="A160" s="112"/>
      <c r="B160" s="112"/>
      <c r="F160" s="67">
        <v>159</v>
      </c>
      <c r="G160" s="74" t="s">
        <v>178</v>
      </c>
      <c r="H160" s="457">
        <f t="shared" si="2"/>
        <v>0.77484143763213531</v>
      </c>
      <c r="I160" s="458">
        <v>0.77484143763213531</v>
      </c>
      <c r="L160" s="487">
        <v>0.7530963446803165</v>
      </c>
      <c r="M160" s="485">
        <v>0.69137043085039562</v>
      </c>
      <c r="N160" s="489">
        <f>1-('Evento Cotiz'!I207/'Evento Cotiz'!L207)</f>
        <v>0.51109994714587748</v>
      </c>
      <c r="O160" s="511">
        <f>+'Evento Cotiz'!L207-'Evento Cotiz'!I207</f>
        <v>4226.9552083200006</v>
      </c>
      <c r="P160" s="496"/>
    </row>
    <row r="161" spans="1:16" ht="24">
      <c r="A161" s="112"/>
      <c r="B161" s="112"/>
      <c r="F161" s="67">
        <v>160</v>
      </c>
      <c r="G161" s="74" t="s">
        <v>179</v>
      </c>
      <c r="H161" s="457">
        <f t="shared" si="2"/>
        <v>0.67119680225723011</v>
      </c>
      <c r="I161" s="458">
        <v>0.67119680225723011</v>
      </c>
      <c r="L161" s="487">
        <v>0.66886579304112059</v>
      </c>
      <c r="M161" s="485">
        <v>0.58608224130140085</v>
      </c>
      <c r="N161" s="489">
        <f>1-('Evento Cotiz'!I208/'Evento Cotiz'!L208)</f>
        <v>0.48342346578885487</v>
      </c>
      <c r="O161" s="511">
        <f>+'Evento Cotiz'!L208-'Evento Cotiz'!I208</f>
        <v>2246.7967999999996</v>
      </c>
      <c r="P161" s="496"/>
    </row>
    <row r="162" spans="1:16" ht="36">
      <c r="A162" s="112"/>
      <c r="B162" s="112"/>
      <c r="F162" s="67">
        <v>161</v>
      </c>
      <c r="G162" s="74" t="s">
        <v>180</v>
      </c>
      <c r="H162" s="457" t="e">
        <f t="shared" si="2"/>
        <v>#N/A</v>
      </c>
      <c r="I162" s="458"/>
      <c r="L162" s="487">
        <v>0.56641087480815611</v>
      </c>
      <c r="M162" s="485">
        <v>0.45801359351019511</v>
      </c>
      <c r="N162" s="489">
        <f>1-('Evento Cotiz'!I209/'Evento Cotiz'!L209)</f>
        <v>0.35015989036089534</v>
      </c>
      <c r="O162" s="511">
        <f>+'Evento Cotiz'!L209-'Evento Cotiz'!I209</f>
        <v>1675.2624000000001</v>
      </c>
      <c r="P162" s="496"/>
    </row>
    <row r="163" spans="1:16" ht="36">
      <c r="A163" s="112"/>
      <c r="B163" s="112"/>
      <c r="F163" s="67">
        <v>162</v>
      </c>
      <c r="G163" s="74" t="s">
        <v>181</v>
      </c>
      <c r="H163" s="457" t="e">
        <f t="shared" si="2"/>
        <v>#N/A</v>
      </c>
      <c r="I163" s="458"/>
      <c r="L163" s="487">
        <v>0.59081315952824331</v>
      </c>
      <c r="M163" s="485">
        <v>0.48851644941030414</v>
      </c>
      <c r="N163" s="489">
        <f>1-('Evento Cotiz'!I210/'Evento Cotiz'!L210)</f>
        <v>0.31195022527354643</v>
      </c>
      <c r="O163" s="511">
        <f>+'Evento Cotiz'!L210-'Evento Cotiz'!I210</f>
        <v>1588.9312</v>
      </c>
      <c r="P163" s="496"/>
    </row>
    <row r="164" spans="1:16" ht="36">
      <c r="A164" s="112"/>
      <c r="B164" s="112"/>
      <c r="F164" s="67">
        <v>163</v>
      </c>
      <c r="G164" s="74" t="s">
        <v>182</v>
      </c>
      <c r="H164" s="457">
        <f t="shared" si="2"/>
        <v>0.69530223943424818</v>
      </c>
      <c r="I164" s="458">
        <v>0.69530223943424818</v>
      </c>
      <c r="L164" s="487">
        <v>0.67875243664717355</v>
      </c>
      <c r="M164" s="485">
        <v>0.59844054580896688</v>
      </c>
      <c r="N164" s="489">
        <v>0</v>
      </c>
      <c r="O164" s="511">
        <f>+'Evento Cotiz'!L211-'Evento Cotiz'!I211</f>
        <v>272.10719999999947</v>
      </c>
      <c r="P164" s="496"/>
    </row>
    <row r="165" spans="1:16" ht="36">
      <c r="A165" s="112"/>
      <c r="B165" s="112"/>
      <c r="F165" s="67">
        <v>164</v>
      </c>
      <c r="G165" s="74" t="s">
        <v>183</v>
      </c>
      <c r="H165" s="457">
        <f t="shared" si="2"/>
        <v>0.92391274895000675</v>
      </c>
      <c r="I165" s="458">
        <v>0.92391274895000675</v>
      </c>
      <c r="L165" s="487">
        <v>0.92089725409307721</v>
      </c>
      <c r="M165" s="485">
        <v>0.90112156761634654</v>
      </c>
      <c r="N165" s="489">
        <f>1-('Evento Cotiz'!I212/'Evento Cotiz'!L212)</f>
        <v>0.83877523370816964</v>
      </c>
      <c r="O165" s="511">
        <f>+'Evento Cotiz'!L212-'Evento Cotiz'!I212</f>
        <v>13531.0496</v>
      </c>
      <c r="P165" s="496"/>
    </row>
    <row r="166" spans="1:16" ht="24">
      <c r="A166" s="112"/>
      <c r="B166" s="112"/>
      <c r="F166" s="67">
        <v>165</v>
      </c>
      <c r="G166" s="74" t="s">
        <v>184</v>
      </c>
      <c r="H166" s="457" t="e">
        <f t="shared" si="2"/>
        <v>#N/A</v>
      </c>
      <c r="I166" s="458"/>
      <c r="L166" s="487">
        <v>0.6369660885322288</v>
      </c>
      <c r="M166" s="485">
        <v>0.546207610665286</v>
      </c>
      <c r="N166" s="489">
        <f>1-('Evento Cotiz'!I213/'Evento Cotiz'!L213)</f>
        <v>0.61583657235831146</v>
      </c>
      <c r="O166" s="511">
        <f>+'Evento Cotiz'!L213-'Evento Cotiz'!I213</f>
        <v>14890.4928</v>
      </c>
      <c r="P166" s="496"/>
    </row>
    <row r="167" spans="1:16" ht="24">
      <c r="A167" s="112"/>
      <c r="B167" s="112"/>
      <c r="F167" s="67">
        <v>166</v>
      </c>
      <c r="G167" s="74" t="s">
        <v>185</v>
      </c>
      <c r="H167" s="457" t="e">
        <f t="shared" si="2"/>
        <v>#N/A</v>
      </c>
      <c r="I167" s="458"/>
      <c r="L167" s="487">
        <v>0.74859185700099307</v>
      </c>
      <c r="M167" s="485">
        <v>0.68573982125124133</v>
      </c>
      <c r="N167" s="489">
        <f>1-('Evento Cotiz'!I214/'Evento Cotiz'!L214)</f>
        <v>0.48412133468149643</v>
      </c>
      <c r="O167" s="511">
        <f>+'Evento Cotiz'!L214-'Evento Cotiz'!I214</f>
        <v>25638.185171199999</v>
      </c>
      <c r="P167" s="496"/>
    </row>
    <row r="168" spans="1:16" ht="48">
      <c r="A168" s="112"/>
      <c r="B168" s="112"/>
      <c r="F168" s="67">
        <v>167</v>
      </c>
      <c r="G168" s="74" t="s">
        <v>186</v>
      </c>
      <c r="H168" s="457" t="e">
        <f t="shared" si="2"/>
        <v>#N/A</v>
      </c>
      <c r="I168" s="458"/>
      <c r="L168" s="487">
        <v>0.74445199788503658</v>
      </c>
      <c r="M168" s="485">
        <v>0.68056499735629572</v>
      </c>
      <c r="N168" s="489">
        <f>1-('Evento Cotiz'!I215/'Evento Cotiz'!L215)</f>
        <v>0.71293747542272912</v>
      </c>
      <c r="O168" s="511">
        <f>+'Evento Cotiz'!L215-'Evento Cotiz'!I215</f>
        <v>9906.232</v>
      </c>
      <c r="P168" s="496"/>
    </row>
    <row r="169" spans="1:16" ht="24">
      <c r="A169" s="112"/>
      <c r="B169" s="112"/>
      <c r="F169" s="67">
        <v>168</v>
      </c>
      <c r="G169" s="74" t="s">
        <v>187</v>
      </c>
      <c r="H169" s="457">
        <f t="shared" si="2"/>
        <v>0.59006555673255656</v>
      </c>
      <c r="I169" s="458">
        <v>0.59006555673255656</v>
      </c>
      <c r="L169" s="487">
        <v>0.56322193131064224</v>
      </c>
      <c r="M169" s="485">
        <v>0.45402741413830283</v>
      </c>
      <c r="N169" s="489">
        <f>1-('Evento Cotiz'!I216/'Evento Cotiz'!L216)</f>
        <v>0.33403953390762109</v>
      </c>
      <c r="O169" s="511">
        <f>+'Evento Cotiz'!L216-'Evento Cotiz'!I216</f>
        <v>18263.966400000005</v>
      </c>
      <c r="P169" s="496"/>
    </row>
    <row r="170" spans="1:16" ht="24">
      <c r="A170" s="112"/>
      <c r="B170" s="112"/>
      <c r="F170" s="67">
        <v>169</v>
      </c>
      <c r="G170" s="74" t="s">
        <v>188</v>
      </c>
      <c r="H170" s="457">
        <f t="shared" si="2"/>
        <v>0.97032356755678228</v>
      </c>
      <c r="I170" s="458">
        <v>0.97032356755678228</v>
      </c>
      <c r="L170" s="487">
        <v>0.96901274188935849</v>
      </c>
      <c r="M170" s="485">
        <v>0.96126592736169802</v>
      </c>
      <c r="N170" s="489">
        <f>1-('Evento Cotiz'!I217/'Evento Cotiz'!L217)</f>
        <v>0.47768060035693305</v>
      </c>
      <c r="O170" s="511">
        <f>+'Evento Cotiz'!L217-'Evento Cotiz'!I217</f>
        <v>94184.060799999992</v>
      </c>
      <c r="P170" s="496"/>
    </row>
    <row r="171" spans="1:16">
      <c r="A171" s="112"/>
      <c r="B171" s="112"/>
      <c r="F171" s="67">
        <v>170</v>
      </c>
      <c r="G171" s="74" t="s">
        <v>189</v>
      </c>
      <c r="H171" s="457">
        <f t="shared" si="2"/>
        <v>0.7422432914953474</v>
      </c>
      <c r="I171" s="458">
        <v>0.7422432914953474</v>
      </c>
      <c r="L171" s="487">
        <v>0.71311826846088278</v>
      </c>
      <c r="M171" s="485">
        <v>0.64139783557610353</v>
      </c>
      <c r="N171" s="489">
        <f>1-('Evento Cotiz'!I218/'Evento Cotiz'!L218)</f>
        <v>0.59133845487989611</v>
      </c>
      <c r="O171" s="511">
        <f>+'Evento Cotiz'!L218-'Evento Cotiz'!I218</f>
        <v>23889.263680000004</v>
      </c>
      <c r="P171" s="496"/>
    </row>
    <row r="172" spans="1:16">
      <c r="A172" s="112"/>
      <c r="B172" s="112"/>
      <c r="F172" s="67">
        <v>171</v>
      </c>
      <c r="G172" s="74" t="s">
        <v>190</v>
      </c>
      <c r="H172" s="457" t="e">
        <f t="shared" si="2"/>
        <v>#N/A</v>
      </c>
      <c r="I172" s="458"/>
      <c r="L172" s="487">
        <v>0.57666746354291187</v>
      </c>
      <c r="M172" s="485">
        <v>0.47083432942863979</v>
      </c>
      <c r="N172" s="489">
        <f>1-('Evento Cotiz'!I219/'Evento Cotiz'!L219)</f>
        <v>0.38520336823788948</v>
      </c>
      <c r="O172" s="511">
        <f>+'Evento Cotiz'!L219-'Evento Cotiz'!I219</f>
        <v>13547.441599999998</v>
      </c>
      <c r="P172" s="496"/>
    </row>
    <row r="173" spans="1:16">
      <c r="A173" s="112"/>
      <c r="B173" s="112"/>
      <c r="F173" s="67">
        <v>172</v>
      </c>
      <c r="G173" s="74" t="s">
        <v>191</v>
      </c>
      <c r="H173" s="457" t="e">
        <f t="shared" si="2"/>
        <v>#N/A</v>
      </c>
      <c r="I173" s="458"/>
      <c r="L173" s="487">
        <v>0.97137040360475102</v>
      </c>
      <c r="M173" s="485">
        <v>0.96421300450593872</v>
      </c>
      <c r="N173" s="489">
        <f>1-('Evento Cotiz'!I220/'Evento Cotiz'!L220)</f>
        <v>0.62281656732757573</v>
      </c>
      <c r="O173" s="511">
        <f>+'Evento Cotiz'!L220-'Evento Cotiz'!I220</f>
        <v>67143.926879999999</v>
      </c>
      <c r="P173" s="496"/>
    </row>
    <row r="174" spans="1:16" ht="24">
      <c r="A174" s="112"/>
      <c r="B174" s="112"/>
      <c r="F174" s="67">
        <v>173</v>
      </c>
      <c r="G174" s="74" t="s">
        <v>192</v>
      </c>
      <c r="H174" s="457" t="e">
        <f t="shared" si="2"/>
        <v>#N/A</v>
      </c>
      <c r="I174" s="458"/>
      <c r="L174" s="487">
        <v>0.54627840522520066</v>
      </c>
      <c r="M174" s="485">
        <v>0.43284800653150091</v>
      </c>
      <c r="N174" s="489">
        <f>1-('Evento Cotiz'!I221/'Evento Cotiz'!L221)</f>
        <v>0.44954410726887795</v>
      </c>
      <c r="O174" s="511">
        <f>+'Evento Cotiz'!L221-'Evento Cotiz'!I221</f>
        <v>20883.539136000003</v>
      </c>
      <c r="P174" s="496"/>
    </row>
    <row r="175" spans="1:16" ht="24">
      <c r="A175" s="112"/>
      <c r="B175" s="112"/>
      <c r="F175" s="67">
        <v>174</v>
      </c>
      <c r="G175" s="74" t="s">
        <v>193</v>
      </c>
      <c r="H175" s="457" t="e">
        <f t="shared" si="2"/>
        <v>#N/A</v>
      </c>
      <c r="I175" s="458"/>
      <c r="L175" s="487">
        <v>0.6512044865530866</v>
      </c>
      <c r="M175" s="485">
        <v>0.56400560819135825</v>
      </c>
      <c r="N175" s="489">
        <f>1-('Evento Cotiz'!I222/'Evento Cotiz'!L222)</f>
        <v>0.41159637228141233</v>
      </c>
      <c r="O175" s="511">
        <f>+'Evento Cotiz'!L222-'Evento Cotiz'!I222</f>
        <v>10216.5872</v>
      </c>
      <c r="P175" s="496"/>
    </row>
    <row r="176" spans="1:16">
      <c r="A176" s="112"/>
      <c r="B176" s="112"/>
      <c r="F176" s="67">
        <v>175</v>
      </c>
      <c r="G176" s="74" t="s">
        <v>194</v>
      </c>
      <c r="H176" s="457">
        <f t="shared" si="2"/>
        <v>0.57751573464515671</v>
      </c>
      <c r="I176" s="458">
        <v>0.57751573464515671</v>
      </c>
      <c r="L176" s="487">
        <v>0.62135962780362475</v>
      </c>
      <c r="M176" s="485">
        <v>0.52669953475453091</v>
      </c>
      <c r="N176" s="489">
        <f>1-('Evento Cotiz'!I223/'Evento Cotiz'!L223)</f>
        <v>0.58597988859147798</v>
      </c>
      <c r="O176" s="511">
        <f>+'Evento Cotiz'!L223-'Evento Cotiz'!I223</f>
        <v>8851.68</v>
      </c>
      <c r="P176" s="496"/>
    </row>
    <row r="177" spans="1:16">
      <c r="A177" s="112"/>
      <c r="B177" s="112"/>
      <c r="F177" s="67">
        <v>176</v>
      </c>
      <c r="G177" s="74" t="s">
        <v>195</v>
      </c>
      <c r="H177" s="457">
        <f t="shared" si="2"/>
        <v>0.80695725852005273</v>
      </c>
      <c r="I177" s="458">
        <v>0.80695725852005273</v>
      </c>
      <c r="L177" s="487">
        <v>0.78443502570114521</v>
      </c>
      <c r="M177" s="485">
        <v>0.73054378212643156</v>
      </c>
      <c r="N177" s="489">
        <f>1-('Evento Cotiz'!I224/'Evento Cotiz'!L224)</f>
        <v>0.54857809263792134</v>
      </c>
      <c r="O177" s="511">
        <f>+'Evento Cotiz'!L224-'Evento Cotiz'!I224</f>
        <v>6367.741775200001</v>
      </c>
      <c r="P177" s="496"/>
    </row>
    <row r="178" spans="1:16">
      <c r="A178" s="112"/>
      <c r="B178" s="112"/>
      <c r="F178" s="67">
        <v>177</v>
      </c>
      <c r="G178" s="74" t="s">
        <v>196</v>
      </c>
      <c r="H178" s="457" t="e">
        <f t="shared" si="2"/>
        <v>#N/A</v>
      </c>
      <c r="I178" s="458"/>
      <c r="L178" s="487">
        <v>0.68363069461285297</v>
      </c>
      <c r="M178" s="485">
        <v>0.60453836826606611</v>
      </c>
      <c r="N178" s="489">
        <f>1-('Evento Cotiz'!I225/'Evento Cotiz'!L225)</f>
        <v>0.58703939008894546</v>
      </c>
      <c r="O178" s="511">
        <f>+'Evento Cotiz'!L225-'Evento Cotiz'!I225</f>
        <v>3534.1152000000002</v>
      </c>
      <c r="P178" s="496"/>
    </row>
    <row r="179" spans="1:16">
      <c r="A179" s="112"/>
      <c r="B179" s="112"/>
      <c r="F179" s="67">
        <v>178</v>
      </c>
      <c r="G179" s="74" t="s">
        <v>197</v>
      </c>
      <c r="H179" s="457" t="e">
        <f t="shared" si="2"/>
        <v>#N/A</v>
      </c>
      <c r="I179" s="458"/>
      <c r="L179" s="487">
        <v>0.74305008441193021</v>
      </c>
      <c r="M179" s="485">
        <v>0.67881260551491285</v>
      </c>
      <c r="N179" s="489">
        <f>1-('Evento Cotiz'!I226/'Evento Cotiz'!L226)</f>
        <v>0.67524020694752396</v>
      </c>
      <c r="O179" s="511">
        <f>+'Evento Cotiz'!L226-'Evento Cotiz'!I226</f>
        <v>4991.9103999999988</v>
      </c>
      <c r="P179" s="496"/>
    </row>
    <row r="180" spans="1:16">
      <c r="A180" s="112"/>
      <c r="B180" s="112"/>
      <c r="F180" s="67">
        <v>179</v>
      </c>
      <c r="G180" s="74" t="s">
        <v>198</v>
      </c>
      <c r="H180" s="457" t="e">
        <f t="shared" si="2"/>
        <v>#N/A</v>
      </c>
      <c r="I180" s="458"/>
      <c r="L180" s="487">
        <v>0.67349374398460049</v>
      </c>
      <c r="M180" s="485">
        <v>0.59186717998075067</v>
      </c>
      <c r="N180" s="489">
        <f>1-('Evento Cotiz'!I227/'Evento Cotiz'!L227)</f>
        <v>0.80832072617246598</v>
      </c>
      <c r="O180" s="511">
        <f>+'Evento Cotiz'!L227-'Evento Cotiz'!I227</f>
        <v>17516.491199999997</v>
      </c>
      <c r="P180" s="496"/>
    </row>
    <row r="181" spans="1:16">
      <c r="A181" s="112"/>
      <c r="B181" s="112"/>
      <c r="F181" s="67">
        <v>180</v>
      </c>
      <c r="G181" s="74" t="s">
        <v>199</v>
      </c>
      <c r="H181" s="457">
        <f t="shared" si="2"/>
        <v>0.65098767447555295</v>
      </c>
      <c r="I181" s="458">
        <v>0.65098767447555295</v>
      </c>
      <c r="L181" s="487">
        <v>0.70582310355681455</v>
      </c>
      <c r="M181" s="485">
        <v>0.63227887944601824</v>
      </c>
      <c r="N181" s="489">
        <f>1-('Evento Cotiz'!I228/'Evento Cotiz'!L228)</f>
        <v>0.5191412945881968</v>
      </c>
      <c r="O181" s="511">
        <f>+'Evento Cotiz'!L228-'Evento Cotiz'!I228</f>
        <v>6950.2079999999996</v>
      </c>
      <c r="P181" s="496"/>
    </row>
    <row r="182" spans="1:16">
      <c r="A182" s="112"/>
      <c r="B182" s="112"/>
      <c r="F182" s="67">
        <v>181</v>
      </c>
      <c r="G182" s="74" t="s">
        <v>200</v>
      </c>
      <c r="H182" s="457" t="e">
        <f t="shared" si="2"/>
        <v>#N/A</v>
      </c>
      <c r="I182" s="458"/>
      <c r="L182" s="487">
        <v>0.76656940391829931</v>
      </c>
      <c r="M182" s="485">
        <v>0.70821175489787414</v>
      </c>
      <c r="N182" s="489">
        <f>1-('Evento Cotiz'!I229/'Evento Cotiz'!L229)</f>
        <v>0.16084519189305735</v>
      </c>
      <c r="O182" s="511">
        <f>+'Evento Cotiz'!L229-'Evento Cotiz'!I229</f>
        <v>407.61439999999993</v>
      </c>
      <c r="P182" s="496"/>
    </row>
    <row r="183" spans="1:16">
      <c r="A183" s="112"/>
      <c r="B183" s="112"/>
      <c r="F183" s="67">
        <v>182</v>
      </c>
      <c r="G183" s="74" t="s">
        <v>201</v>
      </c>
      <c r="H183" s="457" t="e">
        <f t="shared" si="2"/>
        <v>#N/A</v>
      </c>
      <c r="I183" s="458"/>
      <c r="L183" s="487">
        <v>0.75765533411488861</v>
      </c>
      <c r="M183" s="485">
        <v>0.69706916764361071</v>
      </c>
      <c r="N183" s="489">
        <f>1-('Evento Cotiz'!I230/'Evento Cotiz'!L230)</f>
        <v>0.41234567901234565</v>
      </c>
      <c r="O183" s="511">
        <f>+'Evento Cotiz'!L230-'Evento Cotiz'!I230</f>
        <v>1824.9760000000001</v>
      </c>
      <c r="P183" s="496"/>
    </row>
    <row r="184" spans="1:16">
      <c r="A184" s="112"/>
      <c r="B184" s="112"/>
      <c r="F184" s="67">
        <v>183</v>
      </c>
      <c r="G184" s="74" t="s">
        <v>202</v>
      </c>
      <c r="H184" s="457" t="e">
        <f t="shared" si="2"/>
        <v>#N/A</v>
      </c>
      <c r="I184" s="458"/>
      <c r="L184" s="487">
        <v>0.53801369863013693</v>
      </c>
      <c r="M184" s="485">
        <v>0.42251712328767121</v>
      </c>
      <c r="N184" s="489">
        <f>1-('Evento Cotiz'!I231/'Evento Cotiz'!L231)</f>
        <v>0.13571428571428557</v>
      </c>
      <c r="O184" s="511">
        <f>+'Evento Cotiz'!L231-'Evento Cotiz'!I231</f>
        <v>332.21119999999974</v>
      </c>
      <c r="P184" s="496"/>
    </row>
    <row r="185" spans="1:16">
      <c r="A185" s="112"/>
      <c r="B185" s="112"/>
      <c r="F185" s="67">
        <v>184</v>
      </c>
      <c r="G185" s="74" t="s">
        <v>203</v>
      </c>
      <c r="H185" s="457">
        <f t="shared" si="2"/>
        <v>0.62996095136670216</v>
      </c>
      <c r="I185" s="458">
        <v>0.62996095136670216</v>
      </c>
      <c r="L185" s="487">
        <v>0.61041809458533236</v>
      </c>
      <c r="M185" s="485">
        <v>0.51302261823166551</v>
      </c>
      <c r="N185" s="489">
        <f>1-('Evento Cotiz'!I232/'Evento Cotiz'!L232)</f>
        <v>0.55697550585729494</v>
      </c>
      <c r="O185" s="511">
        <f>+'Evento Cotiz'!L232-'Evento Cotiz'!I232</f>
        <v>1714.6031999999998</v>
      </c>
      <c r="P185" s="496"/>
    </row>
    <row r="186" spans="1:16" ht="24">
      <c r="A186" s="112"/>
      <c r="B186" s="112"/>
      <c r="F186" s="67">
        <v>185</v>
      </c>
      <c r="G186" s="74" t="s">
        <v>204</v>
      </c>
      <c r="H186" s="457" t="e">
        <f t="shared" si="2"/>
        <v>#N/A</v>
      </c>
      <c r="I186" s="458"/>
      <c r="L186" s="487">
        <v>0.56473676084607072</v>
      </c>
      <c r="M186" s="485">
        <v>0.45592095105758834</v>
      </c>
      <c r="N186" s="489">
        <f>1-('Evento Cotiz'!I233/'Evento Cotiz'!L233)</f>
        <v>0.49082125603864735</v>
      </c>
      <c r="O186" s="511">
        <f>+'Evento Cotiz'!L233-'Evento Cotiz'!I233</f>
        <v>3330.8544000000006</v>
      </c>
      <c r="P186" s="496"/>
    </row>
    <row r="187" spans="1:16" ht="24">
      <c r="A187" s="112"/>
      <c r="B187" s="112"/>
      <c r="F187" s="67">
        <v>186</v>
      </c>
      <c r="G187" s="74" t="s">
        <v>205</v>
      </c>
      <c r="H187" s="457" t="e">
        <f t="shared" si="2"/>
        <v>#N/A</v>
      </c>
      <c r="I187" s="458"/>
      <c r="L187" s="487">
        <v>0.59668295897633039</v>
      </c>
      <c r="M187" s="485">
        <v>0.49585369872041296</v>
      </c>
      <c r="N187" s="489">
        <f>1-('Evento Cotiz'!I234/'Evento Cotiz'!L234)</f>
        <v>0.57928057553956835</v>
      </c>
      <c r="O187" s="511">
        <f>+'Evento Cotiz'!L234-'Evento Cotiz'!I234</f>
        <v>10999.032000000001</v>
      </c>
      <c r="P187" s="496"/>
    </row>
    <row r="188" spans="1:16" ht="24">
      <c r="A188" s="112"/>
      <c r="B188" s="112"/>
      <c r="F188" s="67">
        <v>187</v>
      </c>
      <c r="G188" s="74" t="s">
        <v>206</v>
      </c>
      <c r="H188" s="457" t="e">
        <f t="shared" si="2"/>
        <v>#N/A</v>
      </c>
      <c r="I188" s="458"/>
      <c r="L188" s="487">
        <v>0.64200634920634925</v>
      </c>
      <c r="M188" s="485">
        <v>0.5525079365079365</v>
      </c>
      <c r="N188" s="489">
        <f>1-('Evento Cotiz'!I235/'Evento Cotiz'!L235)</f>
        <v>0.58525708289611755</v>
      </c>
      <c r="O188" s="511">
        <f>+'Evento Cotiz'!L235-'Evento Cotiz'!I235</f>
        <v>4876.0735999999997</v>
      </c>
      <c r="P188" s="496"/>
    </row>
    <row r="189" spans="1:16">
      <c r="A189" s="112"/>
      <c r="B189" s="112"/>
      <c r="F189" s="67">
        <v>188</v>
      </c>
      <c r="G189" s="74" t="s">
        <v>207</v>
      </c>
      <c r="H189" s="457" t="e">
        <f t="shared" si="2"/>
        <v>#N/A</v>
      </c>
      <c r="I189" s="458"/>
      <c r="L189" s="487">
        <v>0.77238017871649067</v>
      </c>
      <c r="M189" s="485">
        <v>0.71547522339561331</v>
      </c>
      <c r="N189" s="489">
        <f>1-('Evento Cotiz'!I236/'Evento Cotiz'!L236)</f>
        <v>0.49890729643990128</v>
      </c>
      <c r="O189" s="511">
        <f>+'Evento Cotiz'!L236-'Evento Cotiz'!I236</f>
        <v>7733.7456000000002</v>
      </c>
      <c r="P189" s="496"/>
    </row>
    <row r="190" spans="1:16" ht="24">
      <c r="A190" s="112"/>
      <c r="B190" s="112"/>
      <c r="F190" s="67">
        <v>189</v>
      </c>
      <c r="G190" s="74" t="s">
        <v>208</v>
      </c>
      <c r="H190" s="457" t="e">
        <f t="shared" si="2"/>
        <v>#N/A</v>
      </c>
      <c r="I190" s="458"/>
      <c r="L190" s="487">
        <v>0.90434679616250147</v>
      </c>
      <c r="M190" s="485">
        <v>0.88043349520312686</v>
      </c>
      <c r="N190" s="489">
        <f>1-('Evento Cotiz'!I237/'Evento Cotiz'!L237)</f>
        <v>0.61459944324157134</v>
      </c>
      <c r="O190" s="511">
        <f>+'Evento Cotiz'!L237-'Evento Cotiz'!I237</f>
        <v>10856.968000000001</v>
      </c>
      <c r="P190" s="496"/>
    </row>
    <row r="191" spans="1:16" ht="24">
      <c r="A191" s="112"/>
      <c r="B191" s="112"/>
      <c r="F191" s="67">
        <v>190</v>
      </c>
      <c r="G191" s="74" t="s">
        <v>209</v>
      </c>
      <c r="H191" s="457" t="e">
        <f t="shared" si="2"/>
        <v>#N/A</v>
      </c>
      <c r="I191" s="458"/>
      <c r="L191" s="487">
        <v>0.79678589942975631</v>
      </c>
      <c r="M191" s="485">
        <v>0.74598237428719538</v>
      </c>
      <c r="N191" s="489">
        <f>1-('Evento Cotiz'!I238/'Evento Cotiz'!L238)</f>
        <v>0.72995090016366615</v>
      </c>
      <c r="O191" s="511">
        <f>+'Evento Cotiz'!L238-'Evento Cotiz'!I238</f>
        <v>1462.1664000000001</v>
      </c>
      <c r="P191" s="496"/>
    </row>
    <row r="192" spans="1:16" ht="24">
      <c r="A192" s="112"/>
      <c r="B192" s="112"/>
      <c r="F192" s="67">
        <v>191</v>
      </c>
      <c r="G192" s="74" t="s">
        <v>210</v>
      </c>
      <c r="H192" s="457" t="e">
        <f t="shared" si="2"/>
        <v>#N/A</v>
      </c>
      <c r="I192" s="458"/>
      <c r="L192" s="487">
        <v>0.73152941176470587</v>
      </c>
      <c r="M192" s="485">
        <v>0.66441176470588237</v>
      </c>
      <c r="N192" s="489">
        <f>1-('Evento Cotiz'!I239/'Evento Cotiz'!L239)</f>
        <v>0.66411746711532582</v>
      </c>
      <c r="O192" s="511">
        <f>+'Evento Cotiz'!L239-'Evento Cotiz'!I239</f>
        <v>2372.4687999999996</v>
      </c>
      <c r="P192" s="496"/>
    </row>
    <row r="193" spans="1:16" ht="24">
      <c r="A193" s="112"/>
      <c r="B193" s="112"/>
      <c r="F193" s="67">
        <v>192</v>
      </c>
      <c r="G193" s="74" t="s">
        <v>211</v>
      </c>
      <c r="H193" s="457" t="e">
        <f t="shared" si="2"/>
        <v>#N/A</v>
      </c>
      <c r="I193" s="458"/>
      <c r="L193" s="487">
        <v>0.66319218241042344</v>
      </c>
      <c r="M193" s="485">
        <v>0.57899022801302924</v>
      </c>
      <c r="N193" s="489">
        <f>1-('Evento Cotiz'!I240/'Evento Cotiz'!L240)</f>
        <v>0.57865009884213503</v>
      </c>
      <c r="O193" s="511">
        <f>+'Evento Cotiz'!L240-'Evento Cotiz'!I240</f>
        <v>2239.1472000000003</v>
      </c>
      <c r="P193" s="496"/>
    </row>
    <row r="194" spans="1:16" ht="24">
      <c r="A194" s="112"/>
      <c r="B194" s="112"/>
      <c r="F194" s="67">
        <v>193</v>
      </c>
      <c r="G194" s="74" t="s">
        <v>212</v>
      </c>
      <c r="H194" s="457">
        <f t="shared" si="2"/>
        <v>0.69314071650017228</v>
      </c>
      <c r="I194" s="458">
        <v>0.69314071650017228</v>
      </c>
      <c r="L194" s="487">
        <v>0.65715229054890623</v>
      </c>
      <c r="M194" s="485">
        <v>0.57144036318613289</v>
      </c>
      <c r="N194" s="489">
        <f>1-('Evento Cotiz'!I241/'Evento Cotiz'!L241)</f>
        <v>0.50116259042369959</v>
      </c>
      <c r="O194" s="511">
        <f>+'Evento Cotiz'!L241-'Evento Cotiz'!I241</f>
        <v>12719.099200000001</v>
      </c>
      <c r="P194" s="496"/>
    </row>
    <row r="195" spans="1:16" ht="60">
      <c r="A195" s="112"/>
      <c r="B195" s="112"/>
      <c r="F195" s="67">
        <v>194</v>
      </c>
      <c r="G195" s="74" t="s">
        <v>213</v>
      </c>
      <c r="H195" s="457" t="e">
        <f t="shared" ref="H195:H258" si="3">VLOOKUP(F195,$A$2:$B$431,2,0)</f>
        <v>#N/A</v>
      </c>
      <c r="I195" s="458"/>
      <c r="L195" s="487">
        <v>0.68516520369776324</v>
      </c>
      <c r="M195" s="485">
        <v>0.60645650462220413</v>
      </c>
      <c r="N195" s="489">
        <f>1-('Evento Cotiz'!I242/'Evento Cotiz'!L242)</f>
        <v>0.80872808879723423</v>
      </c>
      <c r="O195" s="511">
        <f>+'Evento Cotiz'!L242-'Evento Cotiz'!I242</f>
        <v>29141.697600000003</v>
      </c>
      <c r="P195" s="496"/>
    </row>
    <row r="196" spans="1:16" ht="24">
      <c r="A196" s="112"/>
      <c r="B196" s="112"/>
      <c r="F196" s="67">
        <v>195</v>
      </c>
      <c r="G196" s="74" t="s">
        <v>214</v>
      </c>
      <c r="H196" s="457" t="e">
        <f t="shared" si="3"/>
        <v>#N/A</v>
      </c>
      <c r="I196" s="458"/>
      <c r="L196" s="487">
        <v>0.95575673166202413</v>
      </c>
      <c r="M196" s="485">
        <v>0.94469591457753022</v>
      </c>
      <c r="N196" s="489">
        <f>1-('Evento Cotiz'!I243/'Evento Cotiz'!L243)</f>
        <v>0.87039390088945368</v>
      </c>
      <c r="O196" s="511">
        <f>+'Evento Cotiz'!L243-'Evento Cotiz'!I243</f>
        <v>15719.928000000002</v>
      </c>
      <c r="P196" s="496"/>
    </row>
    <row r="197" spans="1:16" ht="48">
      <c r="A197" s="112"/>
      <c r="B197" s="112"/>
      <c r="F197" s="67">
        <v>196</v>
      </c>
      <c r="G197" s="74" t="s">
        <v>215</v>
      </c>
      <c r="H197" s="457" t="e">
        <f t="shared" si="3"/>
        <v>#N/A</v>
      </c>
      <c r="I197" s="458"/>
      <c r="L197" s="487">
        <v>0.77452557092312646</v>
      </c>
      <c r="M197" s="485">
        <v>0.71815696365390802</v>
      </c>
      <c r="N197" s="489">
        <f>1-('Evento Cotiz'!I244/'Evento Cotiz'!L244)</f>
        <v>0.36902677007755824</v>
      </c>
      <c r="O197" s="511">
        <f>+'Evento Cotiz'!L244-'Evento Cotiz'!I244</f>
        <v>4835.6400000000012</v>
      </c>
      <c r="P197" s="496"/>
    </row>
    <row r="198" spans="1:16" ht="24">
      <c r="A198" s="112"/>
      <c r="B198" s="112"/>
      <c r="F198" s="67">
        <v>197</v>
      </c>
      <c r="G198" s="74" t="s">
        <v>216</v>
      </c>
      <c r="H198" s="457">
        <f t="shared" si="3"/>
        <v>0.60206010822087497</v>
      </c>
      <c r="I198" s="458">
        <v>0.60206010822087497</v>
      </c>
      <c r="L198" s="487">
        <v>0.6543744139799903</v>
      </c>
      <c r="M198" s="485">
        <v>0.56796801747498793</v>
      </c>
      <c r="N198" s="489">
        <f>1-('Evento Cotiz'!I245/'Evento Cotiz'!L245)</f>
        <v>0.46758806528022256</v>
      </c>
      <c r="O198" s="511">
        <f>+'Evento Cotiz'!L245-'Evento Cotiz'!I245</f>
        <v>47027.555200000003</v>
      </c>
      <c r="P198" s="496"/>
    </row>
    <row r="199" spans="1:16" ht="24">
      <c r="A199" s="112"/>
      <c r="B199" s="112"/>
      <c r="F199" s="67">
        <v>198</v>
      </c>
      <c r="G199" s="74" t="s">
        <v>217</v>
      </c>
      <c r="H199" s="457">
        <f t="shared" si="3"/>
        <v>0.68319157736902647</v>
      </c>
      <c r="I199" s="458">
        <v>0.68319157736902647</v>
      </c>
      <c r="L199" s="487">
        <v>0.64389489953632151</v>
      </c>
      <c r="M199" s="485">
        <v>0.55486862442040186</v>
      </c>
      <c r="N199" s="489">
        <f>1-('Evento Cotiz'!I246/'Evento Cotiz'!L246)</f>
        <v>0.554308907358815</v>
      </c>
      <c r="O199" s="511">
        <f>+'Evento Cotiz'!L246-'Evento Cotiz'!I246</f>
        <v>46862.542399999998</v>
      </c>
      <c r="P199" s="496"/>
    </row>
    <row r="200" spans="1:16" ht="36">
      <c r="A200" s="112"/>
      <c r="B200" s="112"/>
      <c r="F200" s="67">
        <v>199</v>
      </c>
      <c r="G200" s="74" t="s">
        <v>218</v>
      </c>
      <c r="H200" s="457" t="e">
        <f t="shared" si="3"/>
        <v>#N/A</v>
      </c>
      <c r="I200" s="458"/>
      <c r="L200" s="487">
        <v>0.72459765035171064</v>
      </c>
      <c r="M200" s="485">
        <v>0.65574706293963836</v>
      </c>
      <c r="N200" s="489">
        <f>1-('Evento Cotiz'!I247/'Evento Cotiz'!L247)</f>
        <v>0.56339632110251125</v>
      </c>
      <c r="O200" s="511">
        <f>+'Evento Cotiz'!L247-'Evento Cotiz'!I247</f>
        <v>31897.739200000004</v>
      </c>
      <c r="P200" s="496"/>
    </row>
    <row r="201" spans="1:16" ht="36">
      <c r="A201" s="112"/>
      <c r="B201" s="112"/>
      <c r="F201" s="67">
        <v>200</v>
      </c>
      <c r="G201" s="74" t="s">
        <v>219</v>
      </c>
      <c r="H201" s="457" t="e">
        <f t="shared" si="3"/>
        <v>#N/A</v>
      </c>
      <c r="I201" s="458"/>
      <c r="L201" s="487">
        <v>0.72603725742796965</v>
      </c>
      <c r="M201" s="485">
        <v>0.65754657178496201</v>
      </c>
      <c r="N201" s="489">
        <f>1-('Evento Cotiz'!I248/'Evento Cotiz'!L248)</f>
        <v>0.62701678751061474</v>
      </c>
      <c r="O201" s="511">
        <f>+'Evento Cotiz'!L248-'Evento Cotiz'!I248</f>
        <v>31469.3616</v>
      </c>
      <c r="P201" s="496"/>
    </row>
    <row r="202" spans="1:16" ht="48">
      <c r="A202" s="112"/>
      <c r="B202" s="112"/>
      <c r="F202" s="67">
        <v>201</v>
      </c>
      <c r="G202" s="74" t="s">
        <v>220</v>
      </c>
      <c r="H202" s="457">
        <f t="shared" si="3"/>
        <v>0.56447039199332782</v>
      </c>
      <c r="I202" s="458">
        <v>0.56447039199332782</v>
      </c>
      <c r="L202" s="487">
        <v>0.62903943377148641</v>
      </c>
      <c r="M202" s="485">
        <v>0.5362992922143579</v>
      </c>
      <c r="N202" s="489">
        <f>1-('Evento Cotiz'!I249/'Evento Cotiz'!L249)</f>
        <v>6.4637197664720647E-2</v>
      </c>
      <c r="O202" s="511">
        <f>+'Evento Cotiz'!L249-'Evento Cotiz'!I249</f>
        <v>338.76800000000003</v>
      </c>
      <c r="P202" s="496"/>
    </row>
    <row r="203" spans="1:16" ht="36">
      <c r="A203" s="112"/>
      <c r="B203" s="112"/>
      <c r="F203" s="67">
        <v>202</v>
      </c>
      <c r="G203" s="74" t="s">
        <v>221</v>
      </c>
      <c r="H203" s="457" t="e">
        <f t="shared" si="3"/>
        <v>#N/A</v>
      </c>
      <c r="I203" s="458"/>
      <c r="L203" s="487">
        <v>0.75237203077952497</v>
      </c>
      <c r="M203" s="485">
        <v>0.69046503847440621</v>
      </c>
      <c r="N203" s="489">
        <f>1-('Evento Cotiz'!I250/'Evento Cotiz'!L250)</f>
        <v>0.2805354155047407</v>
      </c>
      <c r="O203" s="511">
        <f>+'Evento Cotiz'!L250-'Evento Cotiz'!I250</f>
        <v>4397.4272000000001</v>
      </c>
      <c r="P203" s="496"/>
    </row>
    <row r="204" spans="1:16" ht="24">
      <c r="A204" s="112"/>
      <c r="B204" s="112"/>
      <c r="F204" s="67">
        <v>203</v>
      </c>
      <c r="G204" s="74" t="s">
        <v>222</v>
      </c>
      <c r="H204" s="457">
        <f t="shared" si="3"/>
        <v>0.68694241686942425</v>
      </c>
      <c r="I204" s="458">
        <v>0.68694241686942425</v>
      </c>
      <c r="L204" s="487">
        <v>0.66872177498527385</v>
      </c>
      <c r="M204" s="485">
        <v>0.58590221873159232</v>
      </c>
      <c r="N204" s="489">
        <f>1-('Evento Cotiz'!I251/'Evento Cotiz'!L251)</f>
        <v>0.21076642335766416</v>
      </c>
      <c r="O204" s="511">
        <f>+'Evento Cotiz'!L251-'Evento Cotiz'!I251</f>
        <v>4543.8623999999982</v>
      </c>
      <c r="P204" s="496"/>
    </row>
    <row r="205" spans="1:16" ht="24">
      <c r="A205" s="112"/>
      <c r="B205" s="112"/>
      <c r="F205" s="67">
        <v>204</v>
      </c>
      <c r="G205" s="74" t="s">
        <v>223</v>
      </c>
      <c r="H205" s="457">
        <f t="shared" si="3"/>
        <v>0.83311267556302759</v>
      </c>
      <c r="I205" s="458">
        <v>0.83311267556302759</v>
      </c>
      <c r="L205" s="487">
        <v>0.8226370107973705</v>
      </c>
      <c r="M205" s="485">
        <v>0.7782962634967131</v>
      </c>
      <c r="N205" s="489">
        <f>1-('Evento Cotiz'!I252/'Evento Cotiz'!L252)</f>
        <v>0.45466008195860041</v>
      </c>
      <c r="O205" s="511">
        <f>+'Evento Cotiz'!L252-'Evento Cotiz'!I252</f>
        <v>14185.6368</v>
      </c>
      <c r="P205" s="496"/>
    </row>
    <row r="206" spans="1:16" ht="36">
      <c r="A206" s="112"/>
      <c r="B206" s="112"/>
      <c r="F206" s="67">
        <v>205</v>
      </c>
      <c r="G206" s="74" t="s">
        <v>224</v>
      </c>
      <c r="H206" s="457">
        <f t="shared" si="3"/>
        <v>0.69692789968652047</v>
      </c>
      <c r="I206" s="458">
        <v>0.69692789968652047</v>
      </c>
      <c r="L206" s="487">
        <v>0.73181818181818181</v>
      </c>
      <c r="M206" s="485">
        <v>0.66477272727272729</v>
      </c>
      <c r="N206" s="489">
        <f>1-('Evento Cotiz'!I253/'Evento Cotiz'!L253)</f>
        <v>0.46949501567398122</v>
      </c>
      <c r="O206" s="511">
        <f>+'Evento Cotiz'!L253-'Evento Cotiz'!I253</f>
        <v>3273.3492969600006</v>
      </c>
      <c r="P206" s="496"/>
    </row>
    <row r="207" spans="1:16" ht="36">
      <c r="A207" s="112"/>
      <c r="B207" s="112"/>
      <c r="F207" s="67">
        <v>206</v>
      </c>
      <c r="G207" s="74" t="s">
        <v>225</v>
      </c>
      <c r="H207" s="457" t="e">
        <f t="shared" si="3"/>
        <v>#N/A</v>
      </c>
      <c r="I207" s="458"/>
      <c r="L207" s="487">
        <v>0.96763612256074716</v>
      </c>
      <c r="M207" s="485">
        <v>0.95954515320093392</v>
      </c>
      <c r="N207" s="489">
        <f>1-('Evento Cotiz'!I254/'Evento Cotiz'!L254)</f>
        <v>0.67485429436303668</v>
      </c>
      <c r="O207" s="511">
        <f>+'Evento Cotiz'!L254-'Evento Cotiz'!I254</f>
        <v>48969.460800000001</v>
      </c>
      <c r="P207" s="496"/>
    </row>
    <row r="208" spans="1:16" ht="24">
      <c r="A208" s="112"/>
      <c r="B208" s="112"/>
      <c r="F208" s="67">
        <v>207</v>
      </c>
      <c r="G208" s="74" t="s">
        <v>226</v>
      </c>
      <c r="H208" s="457">
        <f t="shared" si="3"/>
        <v>0.72417277090174292</v>
      </c>
      <c r="I208" s="458">
        <v>0.72417277090174292</v>
      </c>
      <c r="L208" s="487">
        <v>0.7092326431181486</v>
      </c>
      <c r="M208" s="485">
        <v>0.63654080389768575</v>
      </c>
      <c r="N208" s="489">
        <f>1-('Evento Cotiz'!I255/'Evento Cotiz'!L255)</f>
        <v>0.63930285425612532</v>
      </c>
      <c r="O208" s="511">
        <f>+'Evento Cotiz'!L255-'Evento Cotiz'!I255</f>
        <v>2765.8768</v>
      </c>
      <c r="P208" s="496"/>
    </row>
    <row r="209" spans="1:16" ht="48">
      <c r="A209" s="112"/>
      <c r="B209" s="112"/>
      <c r="F209" s="67">
        <v>208</v>
      </c>
      <c r="G209" s="74" t="s">
        <v>227</v>
      </c>
      <c r="H209" s="457" t="e">
        <f t="shared" si="3"/>
        <v>#N/A</v>
      </c>
      <c r="I209" s="458"/>
      <c r="L209" s="487">
        <v>0.83601021009228349</v>
      </c>
      <c r="M209" s="485">
        <v>0.79501276261535447</v>
      </c>
      <c r="N209" s="489">
        <f>1-('Evento Cotiz'!I260/'Evento Cotiz'!L260)</f>
        <v>0.60884000830047724</v>
      </c>
      <c r="O209" s="511">
        <f>+'Evento Cotiz'!L260-'Evento Cotiz'!I260</f>
        <v>6412.5504000000001</v>
      </c>
      <c r="P209" s="496"/>
    </row>
    <row r="210" spans="1:16" ht="48">
      <c r="A210" s="112"/>
      <c r="B210" s="112"/>
      <c r="F210" s="67">
        <v>209</v>
      </c>
      <c r="G210" s="74" t="s">
        <v>227</v>
      </c>
      <c r="H210" s="457" t="e">
        <f t="shared" si="3"/>
        <v>#N/A</v>
      </c>
      <c r="I210" s="458"/>
      <c r="L210" s="487">
        <v>0.74051876101737601</v>
      </c>
      <c r="M210" s="485">
        <v>0.67564845127172002</v>
      </c>
      <c r="N210" s="489">
        <f>1-('Evento Cotiz'!I261/'Evento Cotiz'!L261)</f>
        <v>9.1864719569927034E-2</v>
      </c>
      <c r="O210" s="511">
        <f>+'Evento Cotiz'!L261-'Evento Cotiz'!I261</f>
        <v>5004.6305920000013</v>
      </c>
      <c r="P210" s="496"/>
    </row>
    <row r="211" spans="1:16">
      <c r="A211" s="112"/>
      <c r="B211" s="112"/>
      <c r="F211" s="67">
        <v>210</v>
      </c>
      <c r="G211" s="74" t="s">
        <v>228</v>
      </c>
      <c r="H211" s="457" t="e">
        <f t="shared" si="3"/>
        <v>#N/A</v>
      </c>
      <c r="I211" s="458"/>
      <c r="L211" s="487">
        <v>0.78683926645091695</v>
      </c>
      <c r="M211" s="485">
        <v>0.73354908306364619</v>
      </c>
      <c r="N211" s="489">
        <f>1-('Evento Cotiz'!I262/'Evento Cotiz'!L262)</f>
        <v>0.78458049886621317</v>
      </c>
      <c r="O211" s="511">
        <f>+'Evento Cotiz'!L262-'Evento Cotiz'!I262</f>
        <v>756.21759999999995</v>
      </c>
      <c r="P211" s="496"/>
    </row>
    <row r="212" spans="1:16">
      <c r="A212" s="112"/>
      <c r="B212" s="112"/>
      <c r="F212" s="67">
        <v>211</v>
      </c>
      <c r="G212" s="74" t="s">
        <v>228</v>
      </c>
      <c r="H212" s="457" t="e">
        <f t="shared" si="3"/>
        <v>#N/A</v>
      </c>
      <c r="I212" s="458"/>
      <c r="L212" s="487">
        <v>0.52840630472854633</v>
      </c>
      <c r="M212" s="485">
        <v>0.41050788091068302</v>
      </c>
      <c r="N212" s="489">
        <f>1-('Evento Cotiz'!I263/'Evento Cotiz'!L263)</f>
        <v>0.18404907975460127</v>
      </c>
      <c r="O212" s="511">
        <f>+'Evento Cotiz'!L263-'Evento Cotiz'!I263</f>
        <v>557.32799999999997</v>
      </c>
      <c r="P212" s="496"/>
    </row>
    <row r="213" spans="1:16">
      <c r="A213" s="112"/>
      <c r="B213" s="112"/>
      <c r="F213" s="67">
        <v>212</v>
      </c>
      <c r="G213" s="74" t="s">
        <v>229</v>
      </c>
      <c r="H213" s="457" t="e">
        <f t="shared" si="3"/>
        <v>#N/A</v>
      </c>
      <c r="I213" s="458"/>
      <c r="L213" s="487">
        <v>0.84329896907216495</v>
      </c>
      <c r="M213" s="485">
        <v>0.80412371134020622</v>
      </c>
      <c r="N213" s="489">
        <f>1-('Evento Cotiz'!I264/'Evento Cotiz'!L264)</f>
        <v>0.81996726677577736</v>
      </c>
      <c r="O213" s="511">
        <f>+'Evento Cotiz'!L264-'Evento Cotiz'!I264</f>
        <v>1094.9856</v>
      </c>
      <c r="P213" s="496"/>
    </row>
    <row r="214" spans="1:16">
      <c r="A214" s="112"/>
      <c r="B214" s="112"/>
      <c r="F214" s="67">
        <v>213</v>
      </c>
      <c r="G214" s="74" t="s">
        <v>229</v>
      </c>
      <c r="H214" s="457" t="e">
        <f t="shared" si="3"/>
        <v>#N/A</v>
      </c>
      <c r="I214" s="458"/>
      <c r="L214" s="487">
        <v>0.62737076980290074</v>
      </c>
      <c r="M214" s="485">
        <v>0.53421346225362587</v>
      </c>
      <c r="N214" s="489">
        <f>1-('Evento Cotiz'!I265/'Evento Cotiz'!L265)</f>
        <v>0.49361702127659568</v>
      </c>
      <c r="O214" s="511">
        <f>+'Evento Cotiz'!L265-'Evento Cotiz'!I265</f>
        <v>2788.8255999999997</v>
      </c>
      <c r="P214" s="496"/>
    </row>
    <row r="215" spans="1:16">
      <c r="A215" s="112"/>
      <c r="B215" s="112"/>
      <c r="F215" s="67">
        <v>214</v>
      </c>
      <c r="G215" s="74" t="s">
        <v>230</v>
      </c>
      <c r="H215" s="457" t="e">
        <f t="shared" si="3"/>
        <v>#N/A</v>
      </c>
      <c r="I215" s="458"/>
      <c r="L215" s="487">
        <v>0.61560283687943262</v>
      </c>
      <c r="M215" s="485">
        <v>0.51950354609929073</v>
      </c>
      <c r="N215" s="489">
        <f>1-('Evento Cotiz'!I266/'Evento Cotiz'!L266)</f>
        <v>0.31859825927622532</v>
      </c>
      <c r="O215" s="511">
        <f>+'Evento Cotiz'!L266-'Evento Cotiz'!I266</f>
        <v>1520.0847999999996</v>
      </c>
      <c r="P215" s="496"/>
    </row>
    <row r="216" spans="1:16">
      <c r="A216" s="112"/>
      <c r="B216" s="112"/>
      <c r="F216" s="67">
        <v>215</v>
      </c>
      <c r="G216" s="74" t="s">
        <v>231</v>
      </c>
      <c r="H216" s="457" t="e">
        <f t="shared" si="3"/>
        <v>#N/A</v>
      </c>
      <c r="I216" s="458"/>
      <c r="L216" s="487">
        <v>0.66191033138401556</v>
      </c>
      <c r="M216" s="485">
        <v>0.57738791423001956</v>
      </c>
      <c r="N216" s="489">
        <f>1-('Evento Cotiz'!I267/'Evento Cotiz'!L267)</f>
        <v>0.39813878211612386</v>
      </c>
      <c r="O216" s="511">
        <f>+'Evento Cotiz'!L267-'Evento Cotiz'!I267</f>
        <v>2150.6304</v>
      </c>
      <c r="P216" s="496"/>
    </row>
    <row r="217" spans="1:16">
      <c r="A217" s="112"/>
      <c r="B217" s="112"/>
      <c r="F217" s="67">
        <v>216</v>
      </c>
      <c r="G217" s="74" t="s">
        <v>232</v>
      </c>
      <c r="H217" s="457" t="e">
        <f t="shared" si="3"/>
        <v>#N/A</v>
      </c>
      <c r="I217" s="458"/>
      <c r="L217" s="487">
        <v>0.86343838766400649</v>
      </c>
      <c r="M217" s="485">
        <v>0.82929798458000814</v>
      </c>
      <c r="N217" s="489">
        <f>1-('Evento Cotiz'!I268/'Evento Cotiz'!L268)</f>
        <v>0.58321658727935</v>
      </c>
      <c r="O217" s="511">
        <f>+'Evento Cotiz'!L268-'Evento Cotiz'!I268</f>
        <v>4549.3263999999999</v>
      </c>
      <c r="P217" s="496"/>
    </row>
    <row r="218" spans="1:16" ht="24">
      <c r="A218" s="112"/>
      <c r="B218" s="112"/>
      <c r="F218" s="67">
        <v>217</v>
      </c>
      <c r="G218" s="74" t="s">
        <v>233</v>
      </c>
      <c r="H218" s="457" t="e">
        <f t="shared" si="3"/>
        <v>#N/A</v>
      </c>
      <c r="I218" s="458"/>
      <c r="L218" s="487">
        <v>0.70201660735468563</v>
      </c>
      <c r="M218" s="485">
        <v>0.62752075919335704</v>
      </c>
      <c r="N218" s="489">
        <f>1-('Evento Cotiz'!I269/'Evento Cotiz'!L269)</f>
        <v>0.64836247229746369</v>
      </c>
      <c r="O218" s="511">
        <f>+'Evento Cotiz'!L269-'Evento Cotiz'!I269</f>
        <v>2877.3424000000005</v>
      </c>
      <c r="P218" s="496"/>
    </row>
    <row r="219" spans="1:16">
      <c r="A219" s="112"/>
      <c r="B219" s="112"/>
      <c r="F219" s="67">
        <v>218</v>
      </c>
      <c r="G219" s="74" t="s">
        <v>234</v>
      </c>
      <c r="H219" s="457" t="e">
        <f t="shared" si="3"/>
        <v>#N/A</v>
      </c>
      <c r="I219" s="458"/>
      <c r="L219" s="487">
        <v>0.8716262975778547</v>
      </c>
      <c r="M219" s="485">
        <v>0.8395328719723183</v>
      </c>
      <c r="N219" s="489">
        <f>1-('Evento Cotiz'!I270/'Evento Cotiz'!L270)</f>
        <v>0.82477956138367625</v>
      </c>
      <c r="O219" s="511">
        <f>+'Evento Cotiz'!L270-'Evento Cotiz'!I270</f>
        <v>3986.5343999999996</v>
      </c>
      <c r="P219" s="496"/>
    </row>
    <row r="220" spans="1:16">
      <c r="A220" s="112"/>
      <c r="B220" s="112"/>
      <c r="F220" s="67">
        <v>219</v>
      </c>
      <c r="G220" s="74" t="s">
        <v>234</v>
      </c>
      <c r="H220" s="457" t="e">
        <f t="shared" si="3"/>
        <v>#N/A</v>
      </c>
      <c r="I220" s="458"/>
      <c r="L220" s="487">
        <v>0.74854107002033787</v>
      </c>
      <c r="M220" s="485">
        <v>0.68567633752542234</v>
      </c>
      <c r="N220" s="489">
        <f>1-('Evento Cotiz'!I271/'Evento Cotiz'!L271)</f>
        <v>0.5959956474428727</v>
      </c>
      <c r="O220" s="511">
        <f>+'Evento Cotiz'!L271-'Evento Cotiz'!I271</f>
        <v>14963.710400000002</v>
      </c>
      <c r="P220" s="496"/>
    </row>
    <row r="221" spans="1:16">
      <c r="A221" s="112"/>
      <c r="B221" s="112"/>
      <c r="F221" s="67">
        <v>220</v>
      </c>
      <c r="G221" s="74" t="s">
        <v>235</v>
      </c>
      <c r="H221" s="457" t="e">
        <f t="shared" si="3"/>
        <v>#N/A</v>
      </c>
      <c r="I221" s="458"/>
      <c r="L221" s="487">
        <v>0.86698187549251382</v>
      </c>
      <c r="M221" s="485">
        <v>0.83372734436564222</v>
      </c>
      <c r="N221" s="489">
        <f>1-('Evento Cotiz'!I272/'Evento Cotiz'!L272)</f>
        <v>0.81353591160220995</v>
      </c>
      <c r="O221" s="511">
        <f>+'Evento Cotiz'!L272-'Evento Cotiz'!I272</f>
        <v>3218.2960000000003</v>
      </c>
      <c r="P221" s="496"/>
    </row>
    <row r="222" spans="1:16">
      <c r="A222" s="112"/>
      <c r="B222" s="112"/>
      <c r="F222" s="67">
        <v>221</v>
      </c>
      <c r="G222" s="74" t="s">
        <v>235</v>
      </c>
      <c r="H222" s="457" t="e">
        <f t="shared" si="3"/>
        <v>#N/A</v>
      </c>
      <c r="I222" s="458"/>
      <c r="L222" s="487">
        <v>0.76743497359459056</v>
      </c>
      <c r="M222" s="485">
        <v>0.70929371699323829</v>
      </c>
      <c r="N222" s="489">
        <f>1-('Evento Cotiz'!I273/'Evento Cotiz'!L273)</f>
        <v>0.57697736421140688</v>
      </c>
      <c r="O222" s="511">
        <f>+'Evento Cotiz'!L273-'Evento Cotiz'!I273</f>
        <v>12061.233600000001</v>
      </c>
      <c r="P222" s="496"/>
    </row>
    <row r="223" spans="1:16">
      <c r="A223" s="112"/>
      <c r="B223" s="112"/>
      <c r="F223" s="67">
        <v>222</v>
      </c>
      <c r="G223" s="74" t="s">
        <v>236</v>
      </c>
      <c r="H223" s="457" t="e">
        <f t="shared" si="3"/>
        <v>#N/A</v>
      </c>
      <c r="I223" s="458"/>
      <c r="L223" s="487">
        <v>0.84040995607613467</v>
      </c>
      <c r="M223" s="485">
        <v>0.80051244509516839</v>
      </c>
      <c r="N223" s="489">
        <f>1-('Evento Cotiz'!I274/'Evento Cotiz'!L274)</f>
        <v>0.81376975169300225</v>
      </c>
      <c r="O223" s="511">
        <f>+'Evento Cotiz'!L274-'Evento Cotiz'!I274</f>
        <v>2363.7264</v>
      </c>
      <c r="P223" s="496"/>
    </row>
    <row r="224" spans="1:16">
      <c r="A224" s="112"/>
      <c r="B224" s="112"/>
      <c r="F224" s="67">
        <v>223</v>
      </c>
      <c r="G224" s="74" t="s">
        <v>236</v>
      </c>
      <c r="H224" s="457" t="e">
        <f t="shared" si="3"/>
        <v>#N/A</v>
      </c>
      <c r="I224" s="458"/>
      <c r="L224" s="487">
        <v>0.65598306198437606</v>
      </c>
      <c r="M224" s="485">
        <v>0.56997882748047024</v>
      </c>
      <c r="N224" s="489">
        <f>1-('Evento Cotiz'!I275/'Evento Cotiz'!L275)</f>
        <v>0.53861662531017362</v>
      </c>
      <c r="O224" s="511">
        <f>+'Evento Cotiz'!L275-'Evento Cotiz'!I275</f>
        <v>7590.5887999999995</v>
      </c>
      <c r="P224" s="496"/>
    </row>
    <row r="225" spans="1:16">
      <c r="A225" s="112"/>
      <c r="B225" s="112"/>
      <c r="F225" s="67">
        <v>224</v>
      </c>
      <c r="G225" s="74" t="s">
        <v>237</v>
      </c>
      <c r="H225" s="457" t="e">
        <f t="shared" si="3"/>
        <v>#N/A</v>
      </c>
      <c r="I225" s="458"/>
      <c r="L225" s="487">
        <v>0.84995756718528992</v>
      </c>
      <c r="M225" s="485">
        <v>0.81244695898161245</v>
      </c>
      <c r="N225" s="489">
        <f>1-('Evento Cotiz'!I276/'Evento Cotiz'!L276)</f>
        <v>0.83942251031231585</v>
      </c>
      <c r="O225" s="511">
        <f>+'Evento Cotiz'!L276-'Evento Cotiz'!I276</f>
        <v>3113.3872000000001</v>
      </c>
      <c r="P225" s="496"/>
    </row>
    <row r="226" spans="1:16">
      <c r="A226" s="112"/>
      <c r="B226" s="112"/>
      <c r="F226" s="67">
        <v>225</v>
      </c>
      <c r="G226" s="74" t="s">
        <v>237</v>
      </c>
      <c r="H226" s="457" t="e">
        <f t="shared" si="3"/>
        <v>#N/A</v>
      </c>
      <c r="I226" s="458"/>
      <c r="L226" s="487">
        <v>0.76343459703740901</v>
      </c>
      <c r="M226" s="485">
        <v>0.70429324629676127</v>
      </c>
      <c r="N226" s="489">
        <f>1-('Evento Cotiz'!I277/'Evento Cotiz'!L277)</f>
        <v>0.66124941773200141</v>
      </c>
      <c r="O226" s="511">
        <f>+'Evento Cotiz'!L277-'Evento Cotiz'!I277</f>
        <v>13961.612799999999</v>
      </c>
      <c r="P226" s="496"/>
    </row>
    <row r="227" spans="1:16">
      <c r="A227" s="112"/>
      <c r="B227" s="112"/>
      <c r="F227" s="67">
        <v>226</v>
      </c>
      <c r="G227" s="74" t="s">
        <v>238</v>
      </c>
      <c r="H227" s="457" t="e">
        <f t="shared" si="3"/>
        <v>#N/A</v>
      </c>
      <c r="I227" s="458"/>
      <c r="L227" s="487">
        <v>0.84994944388270977</v>
      </c>
      <c r="M227" s="485">
        <v>0.81243680485338721</v>
      </c>
      <c r="N227" s="489">
        <f>1-('Evento Cotiz'!I278/'Evento Cotiz'!L278)</f>
        <v>0.80165069222577212</v>
      </c>
      <c r="O227" s="511">
        <f>+'Evento Cotiz'!L278-'Evento Cotiz'!I278</f>
        <v>3290.4208000000003</v>
      </c>
      <c r="P227" s="496"/>
    </row>
    <row r="228" spans="1:16">
      <c r="A228" s="112"/>
      <c r="B228" s="112"/>
      <c r="F228" s="67">
        <v>227</v>
      </c>
      <c r="G228" s="74" t="s">
        <v>238</v>
      </c>
      <c r="H228" s="457" t="e">
        <f t="shared" si="3"/>
        <v>#N/A</v>
      </c>
      <c r="I228" s="458"/>
      <c r="L228" s="487">
        <v>0.81826689462791324</v>
      </c>
      <c r="M228" s="485">
        <v>0.77283361828489161</v>
      </c>
      <c r="N228" s="489">
        <f>1-('Evento Cotiz'!I279/'Evento Cotiz'!L279)</f>
        <v>0.58321658727935</v>
      </c>
      <c r="O228" s="511">
        <f>+'Evento Cotiz'!L279-'Evento Cotiz'!I279</f>
        <v>13647.9792</v>
      </c>
      <c r="P228" s="496"/>
    </row>
    <row r="229" spans="1:16">
      <c r="A229" s="112"/>
      <c r="B229" s="112"/>
      <c r="F229" s="67">
        <v>228</v>
      </c>
      <c r="G229" s="74" t="s">
        <v>239</v>
      </c>
      <c r="H229" s="457" t="e">
        <f t="shared" si="3"/>
        <v>#N/A</v>
      </c>
      <c r="I229" s="458"/>
      <c r="L229" s="487">
        <v>0.73084577114427862</v>
      </c>
      <c r="M229" s="485">
        <v>0.66355721393034828</v>
      </c>
      <c r="N229" s="489">
        <f>1-('Evento Cotiz'!I280/'Evento Cotiz'!L280)</f>
        <v>0.5579567779960708</v>
      </c>
      <c r="O229" s="511">
        <f>+'Evento Cotiz'!L280-'Evento Cotiz'!I280</f>
        <v>931.06560000000002</v>
      </c>
      <c r="P229" s="496"/>
    </row>
    <row r="230" spans="1:16">
      <c r="A230" s="112"/>
      <c r="B230" s="112"/>
      <c r="F230" s="67">
        <v>229</v>
      </c>
      <c r="G230" s="74" t="s">
        <v>239</v>
      </c>
      <c r="H230" s="457" t="e">
        <f t="shared" si="3"/>
        <v>#N/A</v>
      </c>
      <c r="I230" s="458"/>
      <c r="L230" s="487">
        <v>0.6504257528556594</v>
      </c>
      <c r="M230" s="485">
        <v>0.56303219106957425</v>
      </c>
      <c r="N230" s="489">
        <f>1-('Evento Cotiz'!I281/'Evento Cotiz'!L281)</f>
        <v>0.13734271699722744</v>
      </c>
      <c r="O230" s="511">
        <f>+'Evento Cotiz'!L281-'Evento Cotiz'!I281</f>
        <v>1407.5263999999988</v>
      </c>
      <c r="P230" s="496"/>
    </row>
    <row r="231" spans="1:16" ht="24">
      <c r="A231" s="112"/>
      <c r="B231" s="112"/>
      <c r="F231" s="67">
        <v>230</v>
      </c>
      <c r="G231" s="74" t="s">
        <v>240</v>
      </c>
      <c r="H231" s="457" t="e">
        <f t="shared" si="3"/>
        <v>#N/A</v>
      </c>
      <c r="I231" s="458"/>
      <c r="L231" s="487">
        <v>0.96777171400776862</v>
      </c>
      <c r="M231" s="485">
        <v>0.95971464250971084</v>
      </c>
      <c r="N231" s="489">
        <f>1-('Evento Cotiz'!I282/'Evento Cotiz'!L282)</f>
        <v>0.58467545498832996</v>
      </c>
      <c r="O231" s="511">
        <f>+'Evento Cotiz'!L282-'Evento Cotiz'!I282</f>
        <v>87873.140799999994</v>
      </c>
      <c r="P231" s="496"/>
    </row>
    <row r="232" spans="1:16" ht="24">
      <c r="A232" s="112"/>
      <c r="B232" s="112"/>
      <c r="F232" s="67">
        <v>231</v>
      </c>
      <c r="G232" s="74" t="s">
        <v>241</v>
      </c>
      <c r="H232" s="457" t="e">
        <f t="shared" si="3"/>
        <v>#N/A</v>
      </c>
      <c r="I232" s="458"/>
      <c r="L232" s="487">
        <v>0.76728971962616821</v>
      </c>
      <c r="M232" s="485">
        <v>0.70911214953271029</v>
      </c>
      <c r="N232" s="489">
        <f>1-('Evento Cotiz'!I283/'Evento Cotiz'!L283)</f>
        <v>0.52352412346418942</v>
      </c>
      <c r="O232" s="511">
        <f>+'Evento Cotiz'!L283-'Evento Cotiz'!I283</f>
        <v>1909.1216000000002</v>
      </c>
      <c r="P232" s="496"/>
    </row>
    <row r="233" spans="1:16" ht="24">
      <c r="A233" s="112"/>
      <c r="B233" s="112"/>
      <c r="F233" s="67">
        <v>232</v>
      </c>
      <c r="G233" s="74" t="s">
        <v>241</v>
      </c>
      <c r="H233" s="457" t="e">
        <f t="shared" si="3"/>
        <v>#N/A</v>
      </c>
      <c r="I233" s="458"/>
      <c r="L233" s="487">
        <v>0.56799999999999995</v>
      </c>
      <c r="M233" s="485">
        <v>0.45999999999999996</v>
      </c>
      <c r="N233" s="489">
        <v>0</v>
      </c>
      <c r="O233" s="511">
        <f>+'Evento Cotiz'!L284-'Evento Cotiz'!I284</f>
        <v>566.07040000000052</v>
      </c>
      <c r="P233" s="496"/>
    </row>
    <row r="234" spans="1:16">
      <c r="A234" s="112"/>
      <c r="B234" s="112"/>
      <c r="F234" s="67">
        <v>233</v>
      </c>
      <c r="G234" s="74" t="s">
        <v>242</v>
      </c>
      <c r="H234" s="457" t="e">
        <f t="shared" si="3"/>
        <v>#N/A</v>
      </c>
      <c r="I234" s="458"/>
      <c r="L234" s="487">
        <v>0.94591657903960746</v>
      </c>
      <c r="M234" s="485">
        <v>0.9323957237995093</v>
      </c>
      <c r="N234" s="489">
        <f>1-('Evento Cotiz'!I285/'Evento Cotiz'!L285)</f>
        <v>0.71299737980622757</v>
      </c>
      <c r="O234" s="511">
        <f>+'Evento Cotiz'!L285-'Evento Cotiz'!I285</f>
        <v>51147.411200000002</v>
      </c>
      <c r="P234" s="496"/>
    </row>
    <row r="235" spans="1:16">
      <c r="A235" s="112"/>
      <c r="B235" s="112"/>
      <c r="F235" s="67">
        <v>234</v>
      </c>
      <c r="G235" s="74" t="s">
        <v>242</v>
      </c>
      <c r="H235" s="457" t="e">
        <f t="shared" si="3"/>
        <v>#N/A</v>
      </c>
      <c r="I235" s="458"/>
      <c r="L235" s="487">
        <v>0.87426685760537948</v>
      </c>
      <c r="M235" s="485">
        <v>0.84283357200672437</v>
      </c>
      <c r="N235" s="489">
        <f>1-('Evento Cotiz'!I286/'Evento Cotiz'!L286)</f>
        <v>0.26196009818770571</v>
      </c>
      <c r="O235" s="511">
        <f>+'Evento Cotiz'!L286-'Evento Cotiz'!I286</f>
        <v>87699.385600000009</v>
      </c>
      <c r="P235" s="496"/>
    </row>
    <row r="236" spans="1:16">
      <c r="A236" s="112"/>
      <c r="B236" s="112"/>
      <c r="F236" s="67">
        <v>235</v>
      </c>
      <c r="G236" s="74" t="s">
        <v>243</v>
      </c>
      <c r="H236" s="457" t="e">
        <f t="shared" si="3"/>
        <v>#N/A</v>
      </c>
      <c r="I236" s="458"/>
      <c r="L236" s="487">
        <v>0.88254718428724876</v>
      </c>
      <c r="M236" s="485">
        <v>0.85318398035906096</v>
      </c>
      <c r="N236" s="489">
        <f>1-('Evento Cotiz'!I287/'Evento Cotiz'!L287)</f>
        <v>0.71852529330137505</v>
      </c>
      <c r="O236" s="511">
        <f>+'Evento Cotiz'!L287-'Evento Cotiz'!I287</f>
        <v>24897.2624</v>
      </c>
      <c r="P236" s="496"/>
    </row>
    <row r="237" spans="1:16">
      <c r="A237" s="112"/>
      <c r="B237" s="112"/>
      <c r="F237" s="67">
        <v>236</v>
      </c>
      <c r="G237" s="74" t="s">
        <v>243</v>
      </c>
      <c r="H237" s="457" t="e">
        <f t="shared" si="3"/>
        <v>#N/A</v>
      </c>
      <c r="I237" s="458"/>
      <c r="L237" s="487">
        <v>0.97666737312313534</v>
      </c>
      <c r="M237" s="485">
        <v>0.9708342164039192</v>
      </c>
      <c r="N237" s="489">
        <f>1-('Evento Cotiz'!I288/'Evento Cotiz'!L288)</f>
        <v>0.38992087769366157</v>
      </c>
      <c r="O237" s="511">
        <f>+'Evento Cotiz'!L288-'Evento Cotiz'!I288</f>
        <v>74803.252799999987</v>
      </c>
      <c r="P237" s="496"/>
    </row>
    <row r="238" spans="1:16" ht="24">
      <c r="A238" s="112"/>
      <c r="B238" s="112"/>
      <c r="F238" s="67">
        <v>237</v>
      </c>
      <c r="G238" s="74" t="s">
        <v>244</v>
      </c>
      <c r="H238" s="457" t="e">
        <f t="shared" si="3"/>
        <v>#N/A</v>
      </c>
      <c r="I238" s="458"/>
      <c r="L238" s="487">
        <v>0.98603396992188586</v>
      </c>
      <c r="M238" s="485">
        <v>0.98254246240235732</v>
      </c>
      <c r="N238" s="489">
        <f>1-('Evento Cotiz'!I289/'Evento Cotiz'!L289)</f>
        <v>0.72541893801736324</v>
      </c>
      <c r="O238" s="511">
        <f>+'Evento Cotiz'!L289-'Evento Cotiz'!I289</f>
        <v>27485.012800000004</v>
      </c>
      <c r="P238" s="496"/>
    </row>
    <row r="239" spans="1:16" ht="24">
      <c r="A239" s="112"/>
      <c r="B239" s="112"/>
      <c r="F239" s="67">
        <v>238</v>
      </c>
      <c r="G239" s="74" t="s">
        <v>245</v>
      </c>
      <c r="H239" s="457" t="e">
        <f t="shared" si="3"/>
        <v>#N/A</v>
      </c>
      <c r="I239" s="458"/>
      <c r="L239" s="487">
        <v>0.97780045529476411</v>
      </c>
      <c r="M239" s="485">
        <v>0.97225056911845509</v>
      </c>
      <c r="N239" s="489">
        <f>1-('Evento Cotiz'!I290/'Evento Cotiz'!L290)</f>
        <v>0.58888798569338308</v>
      </c>
      <c r="O239" s="511">
        <f>+'Evento Cotiz'!L290-'Evento Cotiz'!I290</f>
        <v>15833.579199999998</v>
      </c>
      <c r="P239" s="496"/>
    </row>
    <row r="240" spans="1:16">
      <c r="A240" s="112"/>
      <c r="B240" s="112"/>
      <c r="F240" s="67">
        <v>239</v>
      </c>
      <c r="G240" s="74" t="s">
        <v>246</v>
      </c>
      <c r="H240" s="457" t="e">
        <f t="shared" si="3"/>
        <v>#N/A</v>
      </c>
      <c r="I240" s="458"/>
      <c r="L240" s="487">
        <v>0.84372093023255812</v>
      </c>
      <c r="M240" s="485">
        <v>0.8046511627906977</v>
      </c>
      <c r="N240" s="489">
        <f>1-('Evento Cotiz'!I291/'Evento Cotiz'!L291)</f>
        <v>0.59466811751904247</v>
      </c>
      <c r="O240" s="511">
        <f>+'Evento Cotiz'!L291-'Evento Cotiz'!I291</f>
        <v>2388.8607999999999</v>
      </c>
      <c r="P240" s="496"/>
    </row>
    <row r="241" spans="1:16">
      <c r="A241" s="112"/>
      <c r="B241" s="112"/>
      <c r="F241" s="67">
        <v>240</v>
      </c>
      <c r="G241" s="74" t="s">
        <v>246</v>
      </c>
      <c r="H241" s="457" t="e">
        <f t="shared" si="3"/>
        <v>#N/A</v>
      </c>
      <c r="I241" s="458"/>
      <c r="L241" s="487">
        <v>0.97008692890882386</v>
      </c>
      <c r="M241" s="485">
        <v>0.96260866113602983</v>
      </c>
      <c r="N241" s="489">
        <f>1-('Evento Cotiz'!I292/'Evento Cotiz'!L292)</f>
        <v>0.25847457627118653</v>
      </c>
      <c r="O241" s="511">
        <f>+'Evento Cotiz'!L292-'Evento Cotiz'!I292</f>
        <v>6799.4016000000011</v>
      </c>
      <c r="P241" s="496"/>
    </row>
    <row r="242" spans="1:16" ht="84">
      <c r="A242" s="112"/>
      <c r="B242" s="112"/>
      <c r="F242" s="67">
        <v>241</v>
      </c>
      <c r="G242" s="74" t="s">
        <v>247</v>
      </c>
      <c r="H242" s="457" t="e">
        <f t="shared" si="3"/>
        <v>#N/A</v>
      </c>
      <c r="I242" s="458"/>
      <c r="L242" s="487">
        <v>0.71456906729634007</v>
      </c>
      <c r="M242" s="485">
        <v>0.64321133412042508</v>
      </c>
      <c r="N242" s="489">
        <f>1-('Evento Cotiz'!I293/'Evento Cotiz'!L293)</f>
        <v>0.16231398442889522</v>
      </c>
      <c r="O242" s="511">
        <f>+'Evento Cotiz'!L293-'Evento Cotiz'!I293</f>
        <v>3599.6831999999995</v>
      </c>
      <c r="P242" s="496"/>
    </row>
    <row r="243" spans="1:16" ht="36">
      <c r="A243" s="112"/>
      <c r="B243" s="112"/>
      <c r="F243" s="67">
        <v>242</v>
      </c>
      <c r="G243" s="74" t="s">
        <v>248</v>
      </c>
      <c r="H243" s="457" t="e">
        <f t="shared" si="3"/>
        <v>#N/A</v>
      </c>
      <c r="I243" s="458"/>
      <c r="L243" s="487">
        <v>0.98436523828594313</v>
      </c>
      <c r="M243" s="485">
        <v>0.98045654785742886</v>
      </c>
      <c r="N243" s="489">
        <f>1-('Evento Cotiz'!I294/'Evento Cotiz'!L294)</f>
        <v>0.49055815508021394</v>
      </c>
      <c r="O243" s="511">
        <f>+'Evento Cotiz'!L294-'Evento Cotiz'!I294</f>
        <v>12831.6576</v>
      </c>
      <c r="P243" s="496"/>
    </row>
    <row r="244" spans="1:16">
      <c r="A244" s="112"/>
      <c r="B244" s="112"/>
      <c r="F244" s="67">
        <v>243</v>
      </c>
      <c r="G244" s="74" t="s">
        <v>249</v>
      </c>
      <c r="H244" s="457" t="e">
        <f t="shared" si="3"/>
        <v>#N/A</v>
      </c>
      <c r="I244" s="458"/>
      <c r="L244" s="487">
        <v>0.98612460108228106</v>
      </c>
      <c r="M244" s="485">
        <v>0.98265575135285144</v>
      </c>
      <c r="N244" s="489">
        <f>1-('Evento Cotiz'!I295/'Evento Cotiz'!L295)</f>
        <v>0.62610682662096551</v>
      </c>
      <c r="O244" s="511">
        <f>+'Evento Cotiz'!L295-'Evento Cotiz'!I295</f>
        <v>4790.8351999999995</v>
      </c>
      <c r="P244" s="496"/>
    </row>
    <row r="245" spans="1:16" ht="24">
      <c r="A245" s="112"/>
      <c r="B245" s="112"/>
      <c r="F245" s="67">
        <v>244</v>
      </c>
      <c r="G245" s="74" t="s">
        <v>250</v>
      </c>
      <c r="H245" s="457" t="e">
        <f t="shared" si="3"/>
        <v>#N/A</v>
      </c>
      <c r="I245" s="458"/>
      <c r="L245" s="487">
        <v>0.78666666666666663</v>
      </c>
      <c r="M245" s="485">
        <v>0.73333333333333339</v>
      </c>
      <c r="N245" s="489">
        <v>0</v>
      </c>
      <c r="O245" s="511">
        <f>+'Evento Cotiz'!L296-'Evento Cotiz'!I296</f>
        <v>-239.32319999999891</v>
      </c>
      <c r="P245" s="496"/>
    </row>
    <row r="246" spans="1:16" ht="24">
      <c r="A246" s="112"/>
      <c r="B246" s="112"/>
      <c r="F246" s="67">
        <v>245</v>
      </c>
      <c r="G246" s="74" t="s">
        <v>251</v>
      </c>
      <c r="H246" s="457" t="e">
        <f t="shared" si="3"/>
        <v>#N/A</v>
      </c>
      <c r="I246" s="458"/>
      <c r="L246" s="487">
        <v>0.90235128588213109</v>
      </c>
      <c r="M246" s="485">
        <v>0.87793910735266389</v>
      </c>
      <c r="N246" s="489">
        <f>1-('Evento Cotiz'!I297/'Evento Cotiz'!L297)</f>
        <v>0.76107501027225277</v>
      </c>
      <c r="O246" s="511">
        <f>+'Evento Cotiz'!L297-'Evento Cotiz'!I297</f>
        <v>54652.020800000006</v>
      </c>
      <c r="P246" s="496"/>
    </row>
    <row r="247" spans="1:16" ht="24">
      <c r="A247" s="112"/>
      <c r="B247" s="112"/>
      <c r="F247" s="67">
        <v>246</v>
      </c>
      <c r="G247" s="74" t="s">
        <v>252</v>
      </c>
      <c r="H247" s="457" t="e">
        <f t="shared" si="3"/>
        <v>#N/A</v>
      </c>
      <c r="I247" s="458"/>
      <c r="L247" s="487">
        <v>0.90301538461538466</v>
      </c>
      <c r="M247" s="485">
        <v>0.87876923076923075</v>
      </c>
      <c r="N247" s="489">
        <f>1-('Evento Cotiz'!I298/'Evento Cotiz'!L298)</f>
        <v>0.24734504162621718</v>
      </c>
      <c r="O247" s="511">
        <f>+'Evento Cotiz'!L298-'Evento Cotiz'!I298</f>
        <v>9188.2623999999996</v>
      </c>
      <c r="P247" s="496"/>
    </row>
    <row r="248" spans="1:16" ht="24">
      <c r="A248" s="112"/>
      <c r="B248" s="112"/>
      <c r="F248" s="67">
        <v>247</v>
      </c>
      <c r="G248" s="74" t="s">
        <v>253</v>
      </c>
      <c r="H248" s="457" t="e">
        <f t="shared" si="3"/>
        <v>#N/A</v>
      </c>
      <c r="I248" s="458"/>
      <c r="L248" s="487">
        <v>0.91995053390092507</v>
      </c>
      <c r="M248" s="485">
        <v>0.89993816737615639</v>
      </c>
      <c r="N248" s="489">
        <f>1-('Evento Cotiz'!I299/'Evento Cotiz'!L299)</f>
        <v>0.67025049878075815</v>
      </c>
      <c r="O248" s="511">
        <f>+'Evento Cotiz'!L299-'Evento Cotiz'!I299</f>
        <v>59473.454400000002</v>
      </c>
      <c r="P248" s="496"/>
    </row>
    <row r="249" spans="1:16">
      <c r="A249" s="112"/>
      <c r="B249" s="112"/>
      <c r="F249" s="67">
        <v>248</v>
      </c>
      <c r="G249" s="74" t="s">
        <v>254</v>
      </c>
      <c r="H249" s="457" t="e">
        <f t="shared" si="3"/>
        <v>#N/A</v>
      </c>
      <c r="I249" s="458"/>
      <c r="L249" s="487">
        <v>0.75159817351598179</v>
      </c>
      <c r="M249" s="485">
        <v>0.68949771689497719</v>
      </c>
      <c r="N249" s="489">
        <f>1-('Evento Cotiz'!I300/'Evento Cotiz'!L300)</f>
        <v>0.71787899388171317</v>
      </c>
      <c r="O249" s="511">
        <f>+'Evento Cotiz'!L300-'Evento Cotiz'!I300</f>
        <v>1153.9968000000001</v>
      </c>
      <c r="P249" s="496"/>
    </row>
    <row r="250" spans="1:16">
      <c r="A250" s="112"/>
      <c r="B250" s="112"/>
      <c r="F250" s="67">
        <v>249</v>
      </c>
      <c r="G250" s="74" t="s">
        <v>254</v>
      </c>
      <c r="H250" s="457">
        <f t="shared" si="3"/>
        <v>0.71270718232044206</v>
      </c>
      <c r="I250" s="458">
        <v>0.71270718232044206</v>
      </c>
      <c r="L250" s="487">
        <v>0.6202194196657439</v>
      </c>
      <c r="M250" s="485">
        <v>0.5252742745821799</v>
      </c>
      <c r="N250" s="489">
        <f>1-('Evento Cotiz'!I301/'Evento Cotiz'!L301)</f>
        <v>0.46268009966417512</v>
      </c>
      <c r="O250" s="511">
        <f>+'Evento Cotiz'!L301-'Evento Cotiz'!I301</f>
        <v>4667.3488000000007</v>
      </c>
      <c r="P250" s="496"/>
    </row>
    <row r="251" spans="1:16" ht="36">
      <c r="A251" s="112"/>
      <c r="B251" s="112"/>
      <c r="F251" s="67">
        <v>250</v>
      </c>
      <c r="G251" s="74" t="s">
        <v>255</v>
      </c>
      <c r="H251" s="457" t="e">
        <f t="shared" si="3"/>
        <v>#N/A</v>
      </c>
      <c r="I251" s="458"/>
      <c r="L251" s="487">
        <v>0.96899374097255653</v>
      </c>
      <c r="M251" s="485">
        <v>0.96124217621569574</v>
      </c>
      <c r="N251" s="489">
        <v>0</v>
      </c>
      <c r="O251" s="511">
        <f>+'Evento Cotiz'!L302-'Evento Cotiz'!I302</f>
        <v>-18743.705599999998</v>
      </c>
      <c r="P251" s="496"/>
    </row>
    <row r="252" spans="1:16" ht="36">
      <c r="A252" s="112"/>
      <c r="B252" s="112"/>
      <c r="F252" s="67">
        <v>251</v>
      </c>
      <c r="G252" s="74" t="s">
        <v>256</v>
      </c>
      <c r="H252" s="457" t="e">
        <f t="shared" si="3"/>
        <v>#N/A</v>
      </c>
      <c r="I252" s="458"/>
      <c r="L252" s="487">
        <v>0.97246127366609292</v>
      </c>
      <c r="M252" s="485">
        <v>0.96557659208261615</v>
      </c>
      <c r="N252" s="489">
        <f>1-('Evento Cotiz'!I303/'Evento Cotiz'!L303)</f>
        <v>0.37575513491743862</v>
      </c>
      <c r="O252" s="511">
        <f>+'Evento Cotiz'!L303-'Evento Cotiz'!I303</f>
        <v>2039.1648</v>
      </c>
      <c r="P252" s="496"/>
    </row>
    <row r="253" spans="1:16">
      <c r="A253" s="112"/>
      <c r="B253" s="112"/>
      <c r="F253" s="67">
        <v>252</v>
      </c>
      <c r="G253" s="74" t="s">
        <v>239</v>
      </c>
      <c r="H253" s="457" t="e">
        <f t="shared" si="3"/>
        <v>#N/A</v>
      </c>
      <c r="I253" s="458"/>
      <c r="L253" s="487">
        <v>0.80049751243781098</v>
      </c>
      <c r="M253" s="485">
        <v>0.75062189054726369</v>
      </c>
      <c r="N253" s="489">
        <f>1-('Evento Cotiz'!I304/'Evento Cotiz'!L304)</f>
        <v>0.52535760728218461</v>
      </c>
      <c r="O253" s="511">
        <f>+'Evento Cotiz'!L304-'Evento Cotiz'!I304</f>
        <v>882.98239999999998</v>
      </c>
      <c r="P253" s="496"/>
    </row>
    <row r="254" spans="1:16">
      <c r="A254" s="112"/>
      <c r="B254" s="112"/>
      <c r="F254" s="67">
        <v>253</v>
      </c>
      <c r="G254" s="74" t="s">
        <v>239</v>
      </c>
      <c r="H254" s="457" t="e">
        <f t="shared" si="3"/>
        <v>#N/A</v>
      </c>
      <c r="I254" s="458"/>
      <c r="L254" s="487">
        <v>0.94439024390243897</v>
      </c>
      <c r="M254" s="485">
        <v>0.93048780487804872</v>
      </c>
      <c r="N254" s="489">
        <f>1-('Evento Cotiz'!I305/'Evento Cotiz'!L305)</f>
        <v>5.9151307329618485E-2</v>
      </c>
      <c r="O254" s="511">
        <f>+'Evento Cotiz'!L305-'Evento Cotiz'!I305</f>
        <v>603.22559999999976</v>
      </c>
      <c r="P254" s="496"/>
    </row>
    <row r="255" spans="1:16" ht="24">
      <c r="A255" s="112"/>
      <c r="B255" s="112"/>
      <c r="F255" s="67">
        <v>254</v>
      </c>
      <c r="G255" s="74" t="s">
        <v>257</v>
      </c>
      <c r="H255" s="457" t="e">
        <f t="shared" si="3"/>
        <v>#N/A</v>
      </c>
      <c r="I255" s="458"/>
      <c r="L255" s="487">
        <v>0.85987780040733197</v>
      </c>
      <c r="M255" s="485">
        <v>0.82484725050916496</v>
      </c>
      <c r="N255" s="489">
        <f>1-('Evento Cotiz'!I306/'Evento Cotiz'!L306)</f>
        <v>0.34218467109233552</v>
      </c>
      <c r="O255" s="511">
        <f>+'Evento Cotiz'!L306-'Evento Cotiz'!I306</f>
        <v>1239.2352000000001</v>
      </c>
      <c r="P255" s="496"/>
    </row>
    <row r="256" spans="1:16" ht="24">
      <c r="A256" s="112"/>
      <c r="B256" s="112"/>
      <c r="F256" s="67">
        <v>255</v>
      </c>
      <c r="G256" s="74" t="s">
        <v>257</v>
      </c>
      <c r="H256" s="457" t="e">
        <f t="shared" si="3"/>
        <v>#N/A</v>
      </c>
      <c r="I256" s="458"/>
      <c r="L256" s="487">
        <v>0.97628871055093303</v>
      </c>
      <c r="M256" s="485">
        <v>0.97036088818866628</v>
      </c>
      <c r="N256" s="489">
        <v>0</v>
      </c>
      <c r="O256" s="511">
        <f>+'Evento Cotiz'!L307-'Evento Cotiz'!I307</f>
        <v>-7297.7184000000016</v>
      </c>
      <c r="P256" s="496"/>
    </row>
    <row r="257" spans="1:16">
      <c r="A257" s="112"/>
      <c r="B257" s="112"/>
      <c r="F257" s="67">
        <v>256</v>
      </c>
      <c r="G257" s="74" t="s">
        <v>258</v>
      </c>
      <c r="H257" s="457" t="e">
        <f t="shared" si="3"/>
        <v>#N/A</v>
      </c>
      <c r="I257" s="458"/>
      <c r="L257" s="487">
        <v>0.88334999999999997</v>
      </c>
      <c r="M257" s="485">
        <v>0.85418749999999999</v>
      </c>
      <c r="N257" s="489">
        <f>1-('Evento Cotiz'!I308/'Evento Cotiz'!L308)</f>
        <v>0.67832969314274583</v>
      </c>
      <c r="O257" s="511">
        <f>+'Evento Cotiz'!L308-'Evento Cotiz'!I308</f>
        <v>34278.950399999994</v>
      </c>
      <c r="P257" s="496"/>
    </row>
    <row r="258" spans="1:16">
      <c r="A258" s="112"/>
      <c r="B258" s="112"/>
      <c r="F258" s="67">
        <v>257</v>
      </c>
      <c r="G258" s="74" t="s">
        <v>258</v>
      </c>
      <c r="H258" s="457" t="e">
        <f t="shared" si="3"/>
        <v>#N/A</v>
      </c>
      <c r="I258" s="458"/>
      <c r="L258" s="487">
        <v>0.97996668098615902</v>
      </c>
      <c r="M258" s="485">
        <v>0.97495835123269869</v>
      </c>
      <c r="N258" s="489">
        <f>1-('Evento Cotiz'!I309/'Evento Cotiz'!L309)</f>
        <v>0.35448174105496133</v>
      </c>
      <c r="O258" s="511">
        <f>+'Evento Cotiz'!L309-'Evento Cotiz'!I309</f>
        <v>107118.44160000002</v>
      </c>
      <c r="P258" s="496"/>
    </row>
    <row r="259" spans="1:16">
      <c r="A259" s="112"/>
      <c r="B259" s="112"/>
      <c r="F259" s="67">
        <v>258</v>
      </c>
      <c r="G259" s="74" t="s">
        <v>242</v>
      </c>
      <c r="H259" s="457" t="e">
        <f t="shared" ref="H259:H322" si="4">VLOOKUP(F259,$A$2:$B$431,2,0)</f>
        <v>#N/A</v>
      </c>
      <c r="I259" s="458"/>
      <c r="L259" s="487">
        <v>0.94716582728167664</v>
      </c>
      <c r="M259" s="485">
        <v>0.93395728410209589</v>
      </c>
      <c r="N259" s="489">
        <f>1-('Evento Cotiz'!I310/'Evento Cotiz'!L310)</f>
        <v>0.7217216625801306</v>
      </c>
      <c r="O259" s="511">
        <f>+'Evento Cotiz'!L310-'Evento Cotiz'!I310</f>
        <v>53396.393599999996</v>
      </c>
      <c r="P259" s="496"/>
    </row>
    <row r="260" spans="1:16">
      <c r="A260" s="112"/>
      <c r="B260" s="112"/>
      <c r="F260" s="67">
        <v>259</v>
      </c>
      <c r="G260" s="74" t="s">
        <v>242</v>
      </c>
      <c r="H260" s="457" t="e">
        <f t="shared" si="4"/>
        <v>#N/A</v>
      </c>
      <c r="I260" s="458"/>
      <c r="L260" s="487">
        <v>0.97271937796627284</v>
      </c>
      <c r="M260" s="485">
        <v>0.9658992224578411</v>
      </c>
      <c r="N260" s="489">
        <f>1-('Evento Cotiz'!I311/'Evento Cotiz'!L311)</f>
        <v>0.39554182016500294</v>
      </c>
      <c r="O260" s="511">
        <f>+'Evento Cotiz'!L311-'Evento Cotiz'!I311</f>
        <v>161684.13120000003</v>
      </c>
      <c r="P260" s="496"/>
    </row>
    <row r="261" spans="1:16">
      <c r="A261" s="112"/>
      <c r="B261" s="112"/>
      <c r="F261" s="67">
        <v>260</v>
      </c>
      <c r="G261" s="74" t="s">
        <v>243</v>
      </c>
      <c r="H261" s="457" t="e">
        <f t="shared" si="4"/>
        <v>#N/A</v>
      </c>
      <c r="I261" s="458"/>
      <c r="L261" s="487">
        <v>0.90236485624633278</v>
      </c>
      <c r="M261" s="485">
        <v>0.877956070307916</v>
      </c>
      <c r="N261" s="489">
        <f>1-('Evento Cotiz'!I312/'Evento Cotiz'!L312)</f>
        <v>0.76513949046299534</v>
      </c>
      <c r="O261" s="511">
        <f>+'Evento Cotiz'!L312-'Evento Cotiz'!I312</f>
        <v>31080.324800000002</v>
      </c>
      <c r="P261" s="496"/>
    </row>
    <row r="262" spans="1:16">
      <c r="A262" s="112"/>
      <c r="B262" s="112"/>
      <c r="F262" s="67">
        <v>261</v>
      </c>
      <c r="G262" s="74" t="s">
        <v>243</v>
      </c>
      <c r="H262" s="457" t="e">
        <f t="shared" si="4"/>
        <v>#N/A</v>
      </c>
      <c r="I262" s="458"/>
      <c r="L262" s="487">
        <v>0.97198135270660591</v>
      </c>
      <c r="M262" s="485">
        <v>0.96497669088325733</v>
      </c>
      <c r="N262" s="489">
        <f>1-('Evento Cotiz'!I313/'Evento Cotiz'!L313)</f>
        <v>0.43090667999913046</v>
      </c>
      <c r="O262" s="511">
        <f>+'Evento Cotiz'!L313-'Evento Cotiz'!I313</f>
        <v>86650.297599999991</v>
      </c>
      <c r="P262" s="496"/>
    </row>
    <row r="263" spans="1:16">
      <c r="A263" s="112"/>
      <c r="B263" s="112"/>
      <c r="F263" s="67">
        <v>262</v>
      </c>
      <c r="G263" s="74" t="s">
        <v>259</v>
      </c>
      <c r="H263" s="457" t="e">
        <f t="shared" si="4"/>
        <v>#N/A</v>
      </c>
      <c r="I263" s="458"/>
      <c r="L263" s="487">
        <v>0.88440015331544652</v>
      </c>
      <c r="M263" s="485">
        <v>0.85550019164430813</v>
      </c>
      <c r="N263" s="489">
        <f>1-('Evento Cotiz'!I314/'Evento Cotiz'!L314)</f>
        <v>0.77077363896848139</v>
      </c>
      <c r="O263" s="511">
        <f>+'Evento Cotiz'!L314-'Evento Cotiz'!I314</f>
        <v>2057.7424000000001</v>
      </c>
      <c r="P263" s="496"/>
    </row>
    <row r="264" spans="1:16">
      <c r="A264" s="112"/>
      <c r="B264" s="112"/>
      <c r="F264" s="67">
        <v>263</v>
      </c>
      <c r="G264" s="74" t="s">
        <v>259</v>
      </c>
      <c r="H264" s="457" t="e">
        <f t="shared" si="4"/>
        <v>#N/A</v>
      </c>
      <c r="I264" s="458"/>
      <c r="L264" s="487">
        <v>0.9781511514758352</v>
      </c>
      <c r="M264" s="485">
        <v>0.97268893934479406</v>
      </c>
      <c r="N264" s="489">
        <f>1-('Evento Cotiz'!I315/'Evento Cotiz'!L315)</f>
        <v>0.54814160494666031</v>
      </c>
      <c r="O264" s="511">
        <f>+'Evento Cotiz'!L315-'Evento Cotiz'!I315</f>
        <v>8815.6176000000014</v>
      </c>
      <c r="P264" s="496"/>
    </row>
    <row r="265" spans="1:16">
      <c r="A265" s="112"/>
      <c r="B265" s="112"/>
      <c r="F265" s="67">
        <v>264</v>
      </c>
      <c r="G265" s="74" t="s">
        <v>260</v>
      </c>
      <c r="H265" s="457" t="e">
        <f t="shared" si="4"/>
        <v>#N/A</v>
      </c>
      <c r="I265" s="458"/>
      <c r="L265" s="487">
        <v>0.9512239512239512</v>
      </c>
      <c r="M265" s="485">
        <v>0.93902993902993903</v>
      </c>
      <c r="N265" s="489">
        <f>1-('Evento Cotiz'!I316/'Evento Cotiz'!L316)</f>
        <v>0.76552897797106934</v>
      </c>
      <c r="O265" s="511">
        <f>+'Evento Cotiz'!L316-'Evento Cotiz'!I316</f>
        <v>8848.4015999999992</v>
      </c>
      <c r="P265" s="496"/>
    </row>
    <row r="266" spans="1:16">
      <c r="A266" s="112"/>
      <c r="B266" s="112"/>
      <c r="F266" s="67">
        <v>265</v>
      </c>
      <c r="G266" s="74" t="s">
        <v>260</v>
      </c>
      <c r="H266" s="457" t="e">
        <f t="shared" si="4"/>
        <v>#N/A</v>
      </c>
      <c r="I266" s="458"/>
      <c r="L266" s="487">
        <v>0.99359908285366261</v>
      </c>
      <c r="M266" s="485">
        <v>0.99199885356707829</v>
      </c>
      <c r="N266" s="489">
        <f>1-('Evento Cotiz'!I317/'Evento Cotiz'!L317)</f>
        <v>0.63289280469897213</v>
      </c>
      <c r="O266" s="511">
        <f>+'Evento Cotiz'!L317-'Evento Cotiz'!I317</f>
        <v>56048.619200000001</v>
      </c>
      <c r="P266" s="496"/>
    </row>
    <row r="267" spans="1:16">
      <c r="A267" s="112"/>
      <c r="B267" s="112"/>
      <c r="F267" s="67">
        <v>266</v>
      </c>
      <c r="G267" s="74" t="s">
        <v>261</v>
      </c>
      <c r="H267" s="457" t="e">
        <f t="shared" si="4"/>
        <v>#N/A</v>
      </c>
      <c r="I267" s="458"/>
      <c r="L267" s="487">
        <v>0.94950193981335851</v>
      </c>
      <c r="M267" s="485">
        <v>0.93687742476669811</v>
      </c>
      <c r="N267" s="489">
        <f>1-('Evento Cotiz'!I318/'Evento Cotiz'!L318)</f>
        <v>0.81238172479048387</v>
      </c>
      <c r="O267" s="511">
        <f>+'Evento Cotiz'!L318-'Evento Cotiz'!I318</f>
        <v>16419.32</v>
      </c>
      <c r="P267" s="496"/>
    </row>
    <row r="268" spans="1:16">
      <c r="A268" s="112"/>
      <c r="B268" s="112"/>
      <c r="F268" s="67">
        <v>267</v>
      </c>
      <c r="G268" s="74" t="s">
        <v>261</v>
      </c>
      <c r="H268" s="457" t="e">
        <f t="shared" si="4"/>
        <v>#N/A</v>
      </c>
      <c r="I268" s="458"/>
      <c r="L268" s="487">
        <v>0.98982001120306073</v>
      </c>
      <c r="M268" s="485">
        <v>0.987275014003826</v>
      </c>
      <c r="N268" s="489">
        <f>1-('Evento Cotiz'!I319/'Evento Cotiz'!L319)</f>
        <v>0.54878339436222989</v>
      </c>
      <c r="O268" s="511">
        <f>+'Evento Cotiz'!L319-'Evento Cotiz'!I319</f>
        <v>55356.876799999991</v>
      </c>
      <c r="P268" s="496"/>
    </row>
    <row r="269" spans="1:16">
      <c r="A269" s="112"/>
      <c r="B269" s="112"/>
      <c r="F269" s="67">
        <v>268</v>
      </c>
      <c r="G269" s="74" t="s">
        <v>262</v>
      </c>
      <c r="H269" s="457" t="e">
        <f t="shared" si="4"/>
        <v>#N/A</v>
      </c>
      <c r="I269" s="458"/>
      <c r="L269" s="487">
        <v>0.92435263311027061</v>
      </c>
      <c r="M269" s="485">
        <v>0.90544079138783817</v>
      </c>
      <c r="N269" s="489">
        <f>1-('Evento Cotiz'!I320/'Evento Cotiz'!L320)</f>
        <v>0.77821363910681951</v>
      </c>
      <c r="O269" s="511">
        <f>+'Evento Cotiz'!L320-'Evento Cotiz'!I320</f>
        <v>2818.3312000000001</v>
      </c>
      <c r="P269" s="496"/>
    </row>
    <row r="270" spans="1:16">
      <c r="A270" s="112"/>
      <c r="B270" s="112"/>
      <c r="F270" s="67">
        <v>269</v>
      </c>
      <c r="G270" s="74" t="s">
        <v>262</v>
      </c>
      <c r="H270" s="457" t="e">
        <f t="shared" si="4"/>
        <v>#N/A</v>
      </c>
      <c r="I270" s="458"/>
      <c r="L270" s="487">
        <v>0.98772890315272799</v>
      </c>
      <c r="M270" s="485">
        <v>0.98466112894090996</v>
      </c>
      <c r="N270" s="489">
        <f>1-('Evento Cotiz'!I321/'Evento Cotiz'!L321)</f>
        <v>0.56245343928482749</v>
      </c>
      <c r="O270" s="511">
        <f>+'Evento Cotiz'!L321-'Evento Cotiz'!I321</f>
        <v>12375.96</v>
      </c>
      <c r="P270" s="496"/>
    </row>
    <row r="271" spans="1:16">
      <c r="A271" s="112"/>
      <c r="B271" s="112"/>
      <c r="F271" s="67">
        <v>270</v>
      </c>
      <c r="G271" s="74" t="s">
        <v>263</v>
      </c>
      <c r="H271" s="457" t="e">
        <f t="shared" si="4"/>
        <v>#N/A</v>
      </c>
      <c r="I271" s="458"/>
      <c r="L271" s="487">
        <v>0.95424925951241746</v>
      </c>
      <c r="M271" s="485">
        <v>0.94281157439052177</v>
      </c>
      <c r="N271" s="489">
        <f>1-('Evento Cotiz'!I322/'Evento Cotiz'!L322)</f>
        <v>0.69012731203459043</v>
      </c>
      <c r="O271" s="511">
        <f>+'Evento Cotiz'!L322-'Evento Cotiz'!I322</f>
        <v>3139.6143999999999</v>
      </c>
      <c r="P271" s="496"/>
    </row>
    <row r="272" spans="1:16">
      <c r="A272" s="112"/>
      <c r="B272" s="112"/>
      <c r="F272" s="67">
        <v>271</v>
      </c>
      <c r="G272" s="74" t="s">
        <v>263</v>
      </c>
      <c r="H272" s="457" t="e">
        <f t="shared" si="4"/>
        <v>#N/A</v>
      </c>
      <c r="I272" s="458"/>
      <c r="L272" s="487">
        <v>0.99318351551361261</v>
      </c>
      <c r="M272" s="485">
        <v>0.99147939439201571</v>
      </c>
      <c r="N272" s="489">
        <f>1-('Evento Cotiz'!I323/'Evento Cotiz'!L323)</f>
        <v>0.45222692211993043</v>
      </c>
      <c r="O272" s="511">
        <f>+'Evento Cotiz'!L323-'Evento Cotiz'!I323</f>
        <v>13903.148000000001</v>
      </c>
      <c r="P272" s="496"/>
    </row>
    <row r="273" spans="1:16">
      <c r="A273" s="112"/>
      <c r="B273" s="112"/>
      <c r="F273" s="67">
        <v>272</v>
      </c>
      <c r="G273" s="74" t="s">
        <v>264</v>
      </c>
      <c r="H273" s="457" t="e">
        <f t="shared" si="4"/>
        <v>#N/A</v>
      </c>
      <c r="I273" s="458"/>
      <c r="L273" s="487">
        <v>0.90602409638554215</v>
      </c>
      <c r="M273" s="485">
        <v>0.88253012048192769</v>
      </c>
      <c r="N273" s="489">
        <f>1-('Evento Cotiz'!I324/'Evento Cotiz'!L324)</f>
        <v>0.80156967273804236</v>
      </c>
      <c r="O273" s="511">
        <f>+'Evento Cotiz'!L324-'Evento Cotiz'!I324</f>
        <v>5915.3263999999999</v>
      </c>
      <c r="P273" s="496"/>
    </row>
    <row r="274" spans="1:16">
      <c r="A274" s="112"/>
      <c r="B274" s="112"/>
      <c r="F274" s="67">
        <v>273</v>
      </c>
      <c r="G274" s="74" t="s">
        <v>264</v>
      </c>
      <c r="H274" s="457" t="e">
        <f t="shared" si="4"/>
        <v>#N/A</v>
      </c>
      <c r="I274" s="458"/>
      <c r="L274" s="487">
        <v>0.98506933943923614</v>
      </c>
      <c r="M274" s="485">
        <v>0.98133667429904525</v>
      </c>
      <c r="N274" s="489">
        <f>1-('Evento Cotiz'!I325/'Evento Cotiz'!L325)</f>
        <v>0.63369587523086401</v>
      </c>
      <c r="O274" s="511">
        <f>+'Evento Cotiz'!L325-'Evento Cotiz'!I325</f>
        <v>30371.097600000005</v>
      </c>
      <c r="P274" s="496"/>
    </row>
    <row r="275" spans="1:16">
      <c r="A275" s="112"/>
      <c r="B275" s="112"/>
      <c r="F275" s="67">
        <v>274</v>
      </c>
      <c r="G275" s="74" t="s">
        <v>265</v>
      </c>
      <c r="H275" s="457" t="e">
        <f t="shared" si="4"/>
        <v>#N/A</v>
      </c>
      <c r="I275" s="458"/>
      <c r="L275" s="487">
        <v>0.83511631352793003</v>
      </c>
      <c r="M275" s="485">
        <v>0.79389539190991254</v>
      </c>
      <c r="N275" s="489">
        <f>1-('Evento Cotiz'!I326/'Evento Cotiz'!L326)</f>
        <v>0.77429467084639492</v>
      </c>
      <c r="O275" s="511">
        <f>+'Evento Cotiz'!L326-'Evento Cotiz'!I326</f>
        <v>5398.4320000000007</v>
      </c>
      <c r="P275" s="496"/>
    </row>
    <row r="276" spans="1:16">
      <c r="A276" s="112"/>
      <c r="B276" s="112"/>
      <c r="F276" s="67">
        <v>275</v>
      </c>
      <c r="G276" s="74" t="s">
        <v>265</v>
      </c>
      <c r="H276" s="457" t="e">
        <f t="shared" si="4"/>
        <v>#N/A</v>
      </c>
      <c r="I276" s="458"/>
      <c r="L276" s="487">
        <v>0.98019868892343043</v>
      </c>
      <c r="M276" s="485">
        <v>0.97524836115428803</v>
      </c>
      <c r="N276" s="489">
        <f>1-('Evento Cotiz'!I327/'Evento Cotiz'!L327)</f>
        <v>0.6991386525317338</v>
      </c>
      <c r="O276" s="511">
        <f>+'Evento Cotiz'!L327-'Evento Cotiz'!I327</f>
        <v>43818.001600000003</v>
      </c>
      <c r="P276" s="496"/>
    </row>
    <row r="277" spans="1:16">
      <c r="A277" s="112"/>
      <c r="B277" s="112"/>
      <c r="F277" s="67">
        <v>276</v>
      </c>
      <c r="G277" s="74" t="s">
        <v>266</v>
      </c>
      <c r="H277" s="457" t="e">
        <f t="shared" si="4"/>
        <v>#N/A</v>
      </c>
      <c r="I277" s="458"/>
      <c r="L277" s="487">
        <v>0.84809106477284169</v>
      </c>
      <c r="M277" s="485">
        <v>0.81011383096605216</v>
      </c>
      <c r="N277" s="489">
        <f>1-('Evento Cotiz'!I328/'Evento Cotiz'!L328)</f>
        <v>0.76671199916309241</v>
      </c>
      <c r="O277" s="511">
        <f>+'Evento Cotiz'!L328-'Evento Cotiz'!I328</f>
        <v>8009.1311999999998</v>
      </c>
      <c r="P277" s="496"/>
    </row>
    <row r="278" spans="1:16">
      <c r="A278" s="112"/>
      <c r="B278" s="112"/>
      <c r="F278" s="67">
        <v>277</v>
      </c>
      <c r="G278" s="74" t="s">
        <v>266</v>
      </c>
      <c r="H278" s="457" t="e">
        <f t="shared" si="4"/>
        <v>#N/A</v>
      </c>
      <c r="I278" s="458"/>
      <c r="L278" s="487">
        <v>0.97910054743261032</v>
      </c>
      <c r="M278" s="485">
        <v>0.97387568429076299</v>
      </c>
      <c r="N278" s="489">
        <f>1-('Evento Cotiz'!I329/'Evento Cotiz'!L329)</f>
        <v>0.6182961252245317</v>
      </c>
      <c r="O278" s="511">
        <f>+'Evento Cotiz'!L329-'Evento Cotiz'!I329</f>
        <v>47395.828800000003</v>
      </c>
      <c r="P278" s="496"/>
    </row>
    <row r="279" spans="1:16" ht="36">
      <c r="A279" s="112"/>
      <c r="B279" s="112"/>
      <c r="F279" s="67">
        <v>278</v>
      </c>
      <c r="G279" s="74" t="s">
        <v>267</v>
      </c>
      <c r="H279" s="457" t="e">
        <f t="shared" si="4"/>
        <v>#N/A</v>
      </c>
      <c r="I279" s="458"/>
      <c r="L279" s="487">
        <v>0.85256007044911308</v>
      </c>
      <c r="M279" s="485">
        <v>0.81570008806139138</v>
      </c>
      <c r="N279" s="489">
        <f>1-('Evento Cotiz'!I330/'Evento Cotiz'!L330)</f>
        <v>0.83376792698826596</v>
      </c>
      <c r="O279" s="511">
        <f>+'Evento Cotiz'!L330-'Evento Cotiz'!I330</f>
        <v>6988.4560000000001</v>
      </c>
      <c r="P279" s="496"/>
    </row>
    <row r="280" spans="1:16" ht="36">
      <c r="A280" s="112"/>
      <c r="B280" s="112"/>
      <c r="F280" s="67">
        <v>279</v>
      </c>
      <c r="G280" s="74" t="s">
        <v>267</v>
      </c>
      <c r="H280" s="457" t="e">
        <f t="shared" si="4"/>
        <v>#N/A</v>
      </c>
      <c r="I280" s="458"/>
      <c r="L280" s="487">
        <v>0.98657102917249129</v>
      </c>
      <c r="M280" s="485">
        <v>0.98321378646561408</v>
      </c>
      <c r="N280" s="489">
        <f>1-('Evento Cotiz'!I331/'Evento Cotiz'!L331)</f>
        <v>0.44866302438085148</v>
      </c>
      <c r="O280" s="511">
        <f>+'Evento Cotiz'!L331-'Evento Cotiz'!I331</f>
        <v>40742.862399999998</v>
      </c>
      <c r="P280" s="496"/>
    </row>
    <row r="281" spans="1:16" ht="48">
      <c r="A281" s="112"/>
      <c r="B281" s="112"/>
      <c r="F281" s="67">
        <v>280</v>
      </c>
      <c r="G281" s="74" t="s">
        <v>268</v>
      </c>
      <c r="H281" s="457" t="e">
        <f t="shared" si="4"/>
        <v>#N/A</v>
      </c>
      <c r="I281" s="458"/>
      <c r="L281" s="487">
        <v>0.97330494944119217</v>
      </c>
      <c r="M281" s="485">
        <v>0.96663118680149018</v>
      </c>
      <c r="N281" s="489">
        <f>1-('Evento Cotiz'!I332/'Evento Cotiz'!L332)</f>
        <v>0.45271994074561761</v>
      </c>
      <c r="O281" s="511">
        <f>+'Evento Cotiz'!L332-'Evento Cotiz'!I332</f>
        <v>36068.9568</v>
      </c>
      <c r="P281" s="496"/>
    </row>
    <row r="282" spans="1:16" ht="48">
      <c r="A282" s="112"/>
      <c r="B282" s="112"/>
      <c r="F282" s="67">
        <v>281</v>
      </c>
      <c r="G282" s="74" t="s">
        <v>269</v>
      </c>
      <c r="H282" s="457">
        <f t="shared" si="4"/>
        <v>0.77957034677760084</v>
      </c>
      <c r="I282" s="458">
        <v>0.77957034677760084</v>
      </c>
      <c r="L282" s="487">
        <v>0.77176289453425717</v>
      </c>
      <c r="M282" s="485">
        <v>0.71470361816782146</v>
      </c>
      <c r="N282" s="489">
        <f>1-('Evento Cotiz'!I333/'Evento Cotiz'!L333)</f>
        <v>0.74227306704800289</v>
      </c>
      <c r="O282" s="511">
        <f>+'Evento Cotiz'!L333-'Evento Cotiz'!I333</f>
        <v>24958.459199999998</v>
      </c>
      <c r="P282" s="496"/>
    </row>
    <row r="283" spans="1:16" ht="48">
      <c r="A283" s="112"/>
      <c r="B283" s="112"/>
      <c r="F283" s="67">
        <v>282</v>
      </c>
      <c r="G283" s="74" t="s">
        <v>269</v>
      </c>
      <c r="H283" s="457" t="e">
        <f t="shared" si="4"/>
        <v>#N/A</v>
      </c>
      <c r="I283" s="458"/>
      <c r="L283" s="487">
        <v>0.97772566096144331</v>
      </c>
      <c r="M283" s="485">
        <v>0.97215707620180403</v>
      </c>
      <c r="N283" s="489">
        <f>1-('Evento Cotiz'!I334/'Evento Cotiz'!L334)</f>
        <v>0.33468144225120988</v>
      </c>
      <c r="O283" s="511">
        <f>+'Evento Cotiz'!L334-'Evento Cotiz'!I334</f>
        <v>156900.94560000004</v>
      </c>
      <c r="P283" s="496"/>
    </row>
    <row r="284" spans="1:16" ht="48">
      <c r="A284" s="112"/>
      <c r="B284" s="112"/>
      <c r="F284" s="67">
        <v>283</v>
      </c>
      <c r="G284" s="74" t="s">
        <v>270</v>
      </c>
      <c r="H284" s="457" t="e">
        <f t="shared" si="4"/>
        <v>#N/A</v>
      </c>
      <c r="I284" s="458"/>
      <c r="L284" s="487">
        <v>0.66405675915368056</v>
      </c>
      <c r="M284" s="485">
        <v>0.58007094894210054</v>
      </c>
      <c r="N284" s="489">
        <f>1-('Evento Cotiz'!I335/'Evento Cotiz'!L335)</f>
        <v>0.7266020304899945</v>
      </c>
      <c r="O284" s="511">
        <f>+'Evento Cotiz'!L335-'Evento Cotiz'!I335</f>
        <v>24323.542400000002</v>
      </c>
      <c r="P284" s="496"/>
    </row>
    <row r="285" spans="1:16" ht="48">
      <c r="A285" s="112"/>
      <c r="B285" s="112"/>
      <c r="F285" s="67">
        <v>284</v>
      </c>
      <c r="G285" s="74" t="s">
        <v>270</v>
      </c>
      <c r="H285" s="457" t="e">
        <f t="shared" si="4"/>
        <v>#N/A</v>
      </c>
      <c r="I285" s="458"/>
      <c r="L285" s="487">
        <v>0.9790096556692176</v>
      </c>
      <c r="M285" s="485">
        <v>0.97376206958652201</v>
      </c>
      <c r="N285" s="489">
        <f>1-('Evento Cotiz'!I336/'Evento Cotiz'!L336)</f>
        <v>0.36787019429342982</v>
      </c>
      <c r="O285" s="511">
        <f>+'Evento Cotiz'!L336-'Evento Cotiz'!I336</f>
        <v>191741.59519999998</v>
      </c>
      <c r="P285" s="496"/>
    </row>
    <row r="286" spans="1:16" ht="36">
      <c r="A286" s="112"/>
      <c r="B286" s="112"/>
      <c r="F286" s="67">
        <v>285</v>
      </c>
      <c r="G286" s="74" t="s">
        <v>271</v>
      </c>
      <c r="H286" s="457" t="e">
        <f t="shared" si="4"/>
        <v>#N/A</v>
      </c>
      <c r="I286" s="458"/>
      <c r="L286" s="487">
        <v>0.61855159948760252</v>
      </c>
      <c r="M286" s="485">
        <v>0.52318949935950299</v>
      </c>
      <c r="N286" s="489">
        <f>1-('Evento Cotiz'!I337/'Evento Cotiz'!L337)</f>
        <v>0.75938560326899918</v>
      </c>
      <c r="O286" s="511">
        <f>+'Evento Cotiz'!L337-'Evento Cotiz'!I337</f>
        <v>45491.078399999999</v>
      </c>
      <c r="P286" s="496"/>
    </row>
    <row r="287" spans="1:16" ht="36">
      <c r="A287" s="112"/>
      <c r="B287" s="112"/>
      <c r="F287" s="67">
        <v>286</v>
      </c>
      <c r="G287" s="74" t="s">
        <v>271</v>
      </c>
      <c r="H287" s="457" t="e">
        <f t="shared" si="4"/>
        <v>#N/A</v>
      </c>
      <c r="I287" s="458"/>
      <c r="L287" s="487">
        <v>0.97774303369118376</v>
      </c>
      <c r="M287" s="485">
        <v>0.97217879211397973</v>
      </c>
      <c r="N287" s="489">
        <f>1-('Evento Cotiz'!I338/'Evento Cotiz'!L338)</f>
        <v>0.49690126100505316</v>
      </c>
      <c r="O287" s="511">
        <f>+'Evento Cotiz'!L338-'Evento Cotiz'!I338</f>
        <v>512480.5808</v>
      </c>
      <c r="P287" s="496"/>
    </row>
    <row r="288" spans="1:16" ht="24">
      <c r="A288" s="112"/>
      <c r="B288" s="112"/>
      <c r="F288" s="67">
        <v>287</v>
      </c>
      <c r="G288" s="74" t="s">
        <v>272</v>
      </c>
      <c r="H288" s="457" t="e">
        <f t="shared" si="4"/>
        <v>#N/A</v>
      </c>
      <c r="I288" s="458"/>
      <c r="L288" s="487">
        <v>0.63889606084923756</v>
      </c>
      <c r="M288" s="485">
        <v>0.54862007606154706</v>
      </c>
      <c r="N288" s="489">
        <f>1-('Evento Cotiz'!I339/'Evento Cotiz'!L339)</f>
        <v>0.79986425256360871</v>
      </c>
      <c r="O288" s="511">
        <f>+'Evento Cotiz'!L339-'Evento Cotiz'!I339</f>
        <v>47649.358399999997</v>
      </c>
      <c r="P288" s="496"/>
    </row>
    <row r="289" spans="1:16" ht="24">
      <c r="A289" s="112"/>
      <c r="B289" s="112"/>
      <c r="F289" s="67">
        <v>288</v>
      </c>
      <c r="G289" s="74" t="s">
        <v>272</v>
      </c>
      <c r="H289" s="457" t="e">
        <f t="shared" si="4"/>
        <v>#N/A</v>
      </c>
      <c r="I289" s="458"/>
      <c r="L289" s="487">
        <v>0.97832589893405375</v>
      </c>
      <c r="M289" s="485">
        <v>0.97290737366756719</v>
      </c>
      <c r="N289" s="489">
        <f>1-('Evento Cotiz'!I340/'Evento Cotiz'!L340)</f>
        <v>0.56765766678263319</v>
      </c>
      <c r="O289" s="511">
        <f>+'Evento Cotiz'!L340-'Evento Cotiz'!I340</f>
        <v>563456.42240000004</v>
      </c>
      <c r="P289" s="496"/>
    </row>
    <row r="290" spans="1:16">
      <c r="A290" s="112"/>
      <c r="B290" s="112"/>
      <c r="F290" s="67">
        <v>289</v>
      </c>
      <c r="G290" s="74" t="s">
        <v>273</v>
      </c>
      <c r="H290" s="457" t="e">
        <f t="shared" si="4"/>
        <v>#N/A</v>
      </c>
      <c r="I290" s="458"/>
      <c r="L290" s="487">
        <v>0.79239263803680982</v>
      </c>
      <c r="M290" s="485">
        <v>0.74049079754601221</v>
      </c>
      <c r="N290" s="489">
        <f>1-('Evento Cotiz'!I341/'Evento Cotiz'!L341)</f>
        <v>0.84935955258885087</v>
      </c>
      <c r="O290" s="511">
        <f>+'Evento Cotiz'!L341-'Evento Cotiz'!I341</f>
        <v>10289.8048</v>
      </c>
      <c r="P290" s="496"/>
    </row>
    <row r="291" spans="1:16">
      <c r="A291" s="112"/>
      <c r="B291" s="112"/>
      <c r="F291" s="67">
        <v>290</v>
      </c>
      <c r="G291" s="74" t="s">
        <v>273</v>
      </c>
      <c r="H291" s="457" t="e">
        <f t="shared" si="4"/>
        <v>#N/A</v>
      </c>
      <c r="I291" s="458"/>
      <c r="L291" s="487">
        <v>0.97814014008471528</v>
      </c>
      <c r="M291" s="485">
        <v>0.97267517510589407</v>
      </c>
      <c r="N291" s="489">
        <f>1-('Evento Cotiz'!I342/'Evento Cotiz'!L342)</f>
        <v>0.41982662598673059</v>
      </c>
      <c r="O291" s="511">
        <f>+'Evento Cotiz'!L342-'Evento Cotiz'!I342</f>
        <v>47367.415999999997</v>
      </c>
      <c r="P291" s="496"/>
    </row>
    <row r="292" spans="1:16">
      <c r="A292" s="112"/>
      <c r="B292" s="112"/>
      <c r="F292" s="67">
        <v>291</v>
      </c>
      <c r="G292" s="74" t="s">
        <v>274</v>
      </c>
      <c r="H292" s="457" t="e">
        <f t="shared" si="4"/>
        <v>#N/A</v>
      </c>
      <c r="I292" s="458"/>
      <c r="L292" s="487">
        <v>0.70875368130835259</v>
      </c>
      <c r="M292" s="485">
        <v>0.63594210163544074</v>
      </c>
      <c r="N292" s="489">
        <f>1-('Evento Cotiz'!I343/'Evento Cotiz'!L343)</f>
        <v>0.6196534042967482</v>
      </c>
      <c r="O292" s="511">
        <f>+'Evento Cotiz'!L343-'Evento Cotiz'!I343</f>
        <v>10432.961599999999</v>
      </c>
      <c r="P292" s="496"/>
    </row>
    <row r="293" spans="1:16">
      <c r="A293" s="112"/>
      <c r="B293" s="112"/>
      <c r="F293" s="67">
        <v>292</v>
      </c>
      <c r="G293" s="74" t="s">
        <v>274</v>
      </c>
      <c r="H293" s="457" t="e">
        <f t="shared" si="4"/>
        <v>#N/A</v>
      </c>
      <c r="I293" s="458"/>
      <c r="L293" s="487">
        <v>0.97661272851500658</v>
      </c>
      <c r="M293" s="485">
        <v>0.97076591064375828</v>
      </c>
      <c r="N293" s="489">
        <f>1-('Evento Cotiz'!I344/'Evento Cotiz'!L344)</f>
        <v>9.1559124037285389E-2</v>
      </c>
      <c r="O293" s="511">
        <f>+'Evento Cotiz'!L344-'Evento Cotiz'!I344</f>
        <v>23228.55680000002</v>
      </c>
      <c r="P293" s="496"/>
    </row>
    <row r="294" spans="1:16">
      <c r="A294" s="112"/>
      <c r="B294" s="112"/>
      <c r="F294" s="67">
        <v>293</v>
      </c>
      <c r="G294" s="74" t="s">
        <v>275</v>
      </c>
      <c r="H294" s="457" t="e">
        <f t="shared" si="4"/>
        <v>#N/A</v>
      </c>
      <c r="I294" s="458"/>
      <c r="L294" s="487">
        <v>0.89981999788232803</v>
      </c>
      <c r="M294" s="485">
        <v>0.87477499735290998</v>
      </c>
      <c r="N294" s="489">
        <f>1-('Evento Cotiz'!I345/'Evento Cotiz'!L345)</f>
        <v>0.86588401382026225</v>
      </c>
      <c r="O294" s="511">
        <f>+'Evento Cotiz'!L345-'Evento Cotiz'!I345</f>
        <v>50939.779200000004</v>
      </c>
      <c r="P294" s="496"/>
    </row>
    <row r="295" spans="1:16">
      <c r="A295" s="112"/>
      <c r="B295" s="112"/>
      <c r="F295" s="67">
        <v>294</v>
      </c>
      <c r="G295" s="74" t="s">
        <v>275</v>
      </c>
      <c r="H295" s="457" t="e">
        <f t="shared" si="4"/>
        <v>#N/A</v>
      </c>
      <c r="I295" s="458"/>
      <c r="L295" s="487">
        <v>0.98392875220998732</v>
      </c>
      <c r="M295" s="485">
        <v>0.97991094026248415</v>
      </c>
      <c r="N295" s="489">
        <f>1-('Evento Cotiz'!I346/'Evento Cotiz'!L346)</f>
        <v>0.59832840323562775</v>
      </c>
      <c r="O295" s="511">
        <f>+'Evento Cotiz'!L346-'Evento Cotiz'!I346</f>
        <v>423073.14880000008</v>
      </c>
      <c r="P295" s="496"/>
    </row>
    <row r="296" spans="1:16">
      <c r="A296" s="112"/>
      <c r="B296" s="112"/>
      <c r="F296" s="67">
        <v>295</v>
      </c>
      <c r="G296" s="74" t="s">
        <v>276</v>
      </c>
      <c r="H296" s="457" t="e">
        <f t="shared" si="4"/>
        <v>#N/A</v>
      </c>
      <c r="I296" s="458"/>
      <c r="L296" s="487">
        <v>0.86524785881131583</v>
      </c>
      <c r="M296" s="485">
        <v>0.83155982351414481</v>
      </c>
      <c r="N296" s="489">
        <f>1-('Evento Cotiz'!I347/'Evento Cotiz'!L347)</f>
        <v>0.8351967723185284</v>
      </c>
      <c r="O296" s="511">
        <f>+'Evento Cotiz'!L347-'Evento Cotiz'!I347</f>
        <v>53387.651199999993</v>
      </c>
      <c r="P296" s="496"/>
    </row>
    <row r="297" spans="1:16">
      <c r="A297" s="112"/>
      <c r="B297" s="112"/>
      <c r="F297" s="67">
        <v>296</v>
      </c>
      <c r="G297" s="74" t="s">
        <v>276</v>
      </c>
      <c r="H297" s="457" t="e">
        <f t="shared" si="4"/>
        <v>#N/A</v>
      </c>
      <c r="I297" s="458"/>
      <c r="L297" s="487">
        <v>0.97578765492564934</v>
      </c>
      <c r="M297" s="485">
        <v>0.96973456865706165</v>
      </c>
      <c r="N297" s="489">
        <f>1-('Evento Cotiz'!I348/'Evento Cotiz'!L348)</f>
        <v>0.50339207975503153</v>
      </c>
      <c r="O297" s="511">
        <f>+'Evento Cotiz'!L348-'Evento Cotiz'!I348</f>
        <v>384271.0992</v>
      </c>
      <c r="P297" s="496"/>
    </row>
    <row r="298" spans="1:16" ht="36">
      <c r="A298" s="112"/>
      <c r="B298" s="112"/>
      <c r="F298" s="67">
        <v>297</v>
      </c>
      <c r="G298" s="74" t="s">
        <v>277</v>
      </c>
      <c r="H298" s="457" t="e">
        <f t="shared" si="4"/>
        <v>#N/A</v>
      </c>
      <c r="I298" s="458"/>
      <c r="L298" s="487">
        <v>0.89113220093090728</v>
      </c>
      <c r="M298" s="485">
        <v>0.8639152511636341</v>
      </c>
      <c r="N298" s="489">
        <f>1-('Evento Cotiz'!I349/'Evento Cotiz'!L349)</f>
        <v>0.76797479232311661</v>
      </c>
      <c r="O298" s="511">
        <f>+'Evento Cotiz'!L349-'Evento Cotiz'!I349</f>
        <v>52736.342400000001</v>
      </c>
      <c r="P298" s="496"/>
    </row>
    <row r="299" spans="1:16" ht="36">
      <c r="A299" s="112"/>
      <c r="B299" s="112"/>
      <c r="F299" s="67">
        <v>298</v>
      </c>
      <c r="G299" s="74" t="s">
        <v>277</v>
      </c>
      <c r="H299" s="457" t="e">
        <f t="shared" si="4"/>
        <v>#N/A</v>
      </c>
      <c r="I299" s="458"/>
      <c r="L299" s="487">
        <v>0.97693242711563577</v>
      </c>
      <c r="M299" s="485">
        <v>0.97116553389454474</v>
      </c>
      <c r="N299" s="489">
        <f>1-('Evento Cotiz'!I350/'Evento Cotiz'!L350)</f>
        <v>0.3240389221711113</v>
      </c>
      <c r="O299" s="511">
        <f>+'Evento Cotiz'!L350-'Evento Cotiz'!I350</f>
        <v>274974.70720000006</v>
      </c>
      <c r="P299" s="496"/>
    </row>
    <row r="300" spans="1:16" ht="24">
      <c r="A300" s="112"/>
      <c r="B300" s="112"/>
      <c r="F300" s="67">
        <v>299</v>
      </c>
      <c r="G300" s="74" t="s">
        <v>278</v>
      </c>
      <c r="H300" s="457" t="e">
        <f t="shared" si="4"/>
        <v>#N/A</v>
      </c>
      <c r="I300" s="458"/>
      <c r="L300" s="487">
        <v>0.85443395069299644</v>
      </c>
      <c r="M300" s="485">
        <v>0.81804243836624557</v>
      </c>
      <c r="N300" s="489">
        <f>1-('Evento Cotiz'!I351/'Evento Cotiz'!L351)</f>
        <v>0.80812568411563968</v>
      </c>
      <c r="O300" s="511">
        <f>+'Evento Cotiz'!L351-'Evento Cotiz'!I351</f>
        <v>13715.7328</v>
      </c>
      <c r="P300" s="496"/>
    </row>
    <row r="301" spans="1:16" ht="24">
      <c r="A301" s="112"/>
      <c r="B301" s="112"/>
      <c r="F301" s="67">
        <v>300</v>
      </c>
      <c r="G301" s="74" t="s">
        <v>278</v>
      </c>
      <c r="H301" s="457" t="e">
        <f t="shared" si="4"/>
        <v>#N/A</v>
      </c>
      <c r="I301" s="458"/>
      <c r="L301" s="487">
        <v>0.98969653524492229</v>
      </c>
      <c r="M301" s="485">
        <v>0.98712066905615292</v>
      </c>
      <c r="N301" s="489">
        <f>1-('Evento Cotiz'!I352/'Evento Cotiz'!L352)</f>
        <v>0.8997604921563287</v>
      </c>
      <c r="O301" s="511">
        <f>+'Evento Cotiz'!L352-'Evento Cotiz'!I352</f>
        <v>350184.4816</v>
      </c>
      <c r="P301" s="496"/>
    </row>
    <row r="302" spans="1:16" ht="24">
      <c r="A302" s="112"/>
      <c r="B302" s="112"/>
      <c r="F302" s="67">
        <v>301</v>
      </c>
      <c r="G302" s="74" t="s">
        <v>279</v>
      </c>
      <c r="H302" s="457" t="e">
        <f t="shared" si="4"/>
        <v>#N/A</v>
      </c>
      <c r="I302" s="458"/>
      <c r="L302" s="487">
        <v>0.84700106723585911</v>
      </c>
      <c r="M302" s="485">
        <v>0.80875133404482391</v>
      </c>
      <c r="N302" s="489">
        <f>1-('Evento Cotiz'!I353/'Evento Cotiz'!L353)</f>
        <v>0.75287483414418399</v>
      </c>
      <c r="O302" s="511">
        <f>+'Evento Cotiz'!L353-'Evento Cotiz'!I353</f>
        <v>14881.750400000001</v>
      </c>
      <c r="P302" s="496"/>
    </row>
    <row r="303" spans="1:16" ht="24">
      <c r="A303" s="112"/>
      <c r="B303" s="112"/>
      <c r="F303" s="67">
        <v>302</v>
      </c>
      <c r="G303" s="74" t="s">
        <v>279</v>
      </c>
      <c r="H303" s="457">
        <f t="shared" si="4"/>
        <v>0.97985502883655151</v>
      </c>
      <c r="I303" s="458">
        <v>0.97985502883655151</v>
      </c>
      <c r="L303" s="487">
        <v>0.97592769531089274</v>
      </c>
      <c r="M303" s="485">
        <v>0.96990961913861595</v>
      </c>
      <c r="N303" s="489">
        <f>1-('Evento Cotiz'!I354/'Evento Cotiz'!L354)</f>
        <v>0.74412637433523021</v>
      </c>
      <c r="O303" s="511">
        <f>+'Evento Cotiz'!L354-'Evento Cotiz'!I354</f>
        <v>170185.02239999999</v>
      </c>
      <c r="P303" s="496"/>
    </row>
    <row r="304" spans="1:16" ht="24">
      <c r="A304" s="112"/>
      <c r="B304" s="112"/>
      <c r="F304" s="67">
        <v>303</v>
      </c>
      <c r="G304" s="74" t="s">
        <v>280</v>
      </c>
      <c r="H304" s="457" t="e">
        <f t="shared" si="4"/>
        <v>#N/A</v>
      </c>
      <c r="I304" s="458"/>
      <c r="L304" s="487">
        <v>0.73876967095851209</v>
      </c>
      <c r="M304" s="485">
        <v>0.67346208869814017</v>
      </c>
      <c r="N304" s="489">
        <f>1-('Evento Cotiz'!I355/'Evento Cotiz'!L355)</f>
        <v>0.75039420270406287</v>
      </c>
      <c r="O304" s="511">
        <f>+'Evento Cotiz'!L355-'Evento Cotiz'!I355</f>
        <v>24442.657599999999</v>
      </c>
      <c r="P304" s="496"/>
    </row>
    <row r="305" spans="1:16" ht="24">
      <c r="A305" s="112"/>
      <c r="B305" s="112"/>
      <c r="F305" s="67">
        <v>304</v>
      </c>
      <c r="G305" s="74" t="s">
        <v>280</v>
      </c>
      <c r="H305" s="457" t="e">
        <f t="shared" si="4"/>
        <v>#N/A</v>
      </c>
      <c r="I305" s="458"/>
      <c r="L305" s="487">
        <v>0.97188596782828685</v>
      </c>
      <c r="M305" s="485">
        <v>0.96485745978535864</v>
      </c>
      <c r="N305" s="489">
        <f>1-('Evento Cotiz'!I356/'Evento Cotiz'!L356)</f>
        <v>0.67931328128087842</v>
      </c>
      <c r="O305" s="511">
        <f>+'Evento Cotiz'!L356-'Evento Cotiz'!I356</f>
        <v>206603.67520000003</v>
      </c>
      <c r="P305" s="496"/>
    </row>
    <row r="306" spans="1:16" ht="36">
      <c r="A306" s="112"/>
      <c r="B306" s="112"/>
      <c r="F306" s="67">
        <v>305</v>
      </c>
      <c r="G306" s="74" t="s">
        <v>281</v>
      </c>
      <c r="H306" s="457" t="e">
        <f t="shared" si="4"/>
        <v>#N/A</v>
      </c>
      <c r="I306" s="458"/>
      <c r="L306" s="487">
        <v>0.98567745902608617</v>
      </c>
      <c r="M306" s="485">
        <v>0.98209682378260765</v>
      </c>
      <c r="N306" s="489">
        <f>1-('Evento Cotiz'!I357/'Evento Cotiz'!L357)</f>
        <v>0.53691793156676104</v>
      </c>
      <c r="O306" s="511">
        <f>+'Evento Cotiz'!L357-'Evento Cotiz'!I357</f>
        <v>47894.145600000003</v>
      </c>
      <c r="P306" s="496"/>
    </row>
    <row r="307" spans="1:16" ht="36">
      <c r="A307" s="112"/>
      <c r="B307" s="112"/>
      <c r="F307" s="67">
        <v>306</v>
      </c>
      <c r="G307" s="74" t="s">
        <v>282</v>
      </c>
      <c r="H307" s="457" t="e">
        <f t="shared" si="4"/>
        <v>#N/A</v>
      </c>
      <c r="I307" s="458"/>
      <c r="L307" s="487">
        <v>0.98558266872991307</v>
      </c>
      <c r="M307" s="485">
        <v>0.98197833591239136</v>
      </c>
      <c r="N307" s="489">
        <f>1-('Evento Cotiz'!I358/'Evento Cotiz'!L358)</f>
        <v>0.53640678464991365</v>
      </c>
      <c r="O307" s="511">
        <f>+'Evento Cotiz'!L358-'Evento Cotiz'!I358</f>
        <v>47795.793600000005</v>
      </c>
      <c r="P307" s="496"/>
    </row>
    <row r="308" spans="1:16" ht="36">
      <c r="A308" s="112"/>
      <c r="B308" s="112"/>
      <c r="F308" s="67">
        <v>307</v>
      </c>
      <c r="G308" s="74" t="s">
        <v>283</v>
      </c>
      <c r="H308" s="457" t="e">
        <f t="shared" si="4"/>
        <v>#N/A</v>
      </c>
      <c r="I308" s="458"/>
      <c r="L308" s="487">
        <v>0.98563345866891239</v>
      </c>
      <c r="M308" s="485">
        <v>0.98204182333614054</v>
      </c>
      <c r="N308" s="489">
        <f>1-('Evento Cotiz'!I359/'Evento Cotiz'!L359)</f>
        <v>0.53634423374138318</v>
      </c>
      <c r="O308" s="511">
        <f>+'Evento Cotiz'!L359-'Evento Cotiz'!I359</f>
        <v>47783.772800000006</v>
      </c>
      <c r="P308" s="496"/>
    </row>
    <row r="309" spans="1:16" ht="36">
      <c r="A309" s="112"/>
      <c r="B309" s="112"/>
      <c r="F309" s="67">
        <v>308</v>
      </c>
      <c r="G309" s="74" t="s">
        <v>284</v>
      </c>
      <c r="H309" s="457" t="e">
        <f t="shared" si="4"/>
        <v>#N/A</v>
      </c>
      <c r="I309" s="458"/>
      <c r="L309" s="487">
        <v>0.98565030921972374</v>
      </c>
      <c r="M309" s="485">
        <v>0.98206288652465468</v>
      </c>
      <c r="N309" s="489">
        <f>1-('Evento Cotiz'!I360/'Evento Cotiz'!L360)</f>
        <v>0.53756376848827392</v>
      </c>
      <c r="O309" s="511">
        <f>+'Evento Cotiz'!L360-'Evento Cotiz'!I360</f>
        <v>48018.724799999996</v>
      </c>
      <c r="P309" s="496"/>
    </row>
    <row r="310" spans="1:16" ht="36">
      <c r="A310" s="112"/>
      <c r="B310" s="112"/>
      <c r="F310" s="67">
        <v>309</v>
      </c>
      <c r="G310" s="74" t="s">
        <v>285</v>
      </c>
      <c r="H310" s="457" t="e">
        <f t="shared" si="4"/>
        <v>#N/A</v>
      </c>
      <c r="I310" s="458"/>
      <c r="L310" s="487">
        <v>0.98663440651325429</v>
      </c>
      <c r="M310" s="485">
        <v>0.98329300814156795</v>
      </c>
      <c r="N310" s="489">
        <f>1-('Evento Cotiz'!I361/'Evento Cotiz'!L361)</f>
        <v>0.24782257175407008</v>
      </c>
      <c r="O310" s="511">
        <f>+'Evento Cotiz'!L361-'Evento Cotiz'!I361</f>
        <v>29477.1872</v>
      </c>
      <c r="P310" s="496"/>
    </row>
    <row r="311" spans="1:16" ht="36">
      <c r="A311" s="112"/>
      <c r="B311" s="112"/>
      <c r="F311" s="67">
        <v>310</v>
      </c>
      <c r="G311" s="74" t="s">
        <v>286</v>
      </c>
      <c r="H311" s="457" t="e">
        <f t="shared" si="4"/>
        <v>#N/A</v>
      </c>
      <c r="I311" s="458"/>
      <c r="L311" s="487">
        <v>0.98648692081064193</v>
      </c>
      <c r="M311" s="485">
        <v>0.98310865101330236</v>
      </c>
      <c r="N311" s="489">
        <f>1-('Evento Cotiz'!I362/'Evento Cotiz'!L362)</f>
        <v>0.24586177356509253</v>
      </c>
      <c r="O311" s="511">
        <f>+'Evento Cotiz'!L362-'Evento Cotiz'!I362</f>
        <v>29167.924800000008</v>
      </c>
      <c r="P311" s="496"/>
    </row>
    <row r="312" spans="1:16" ht="36">
      <c r="A312" s="112"/>
      <c r="B312" s="112"/>
      <c r="F312" s="67">
        <v>311</v>
      </c>
      <c r="G312" s="74" t="s">
        <v>287</v>
      </c>
      <c r="H312" s="457" t="e">
        <f t="shared" si="4"/>
        <v>#N/A</v>
      </c>
      <c r="I312" s="458"/>
      <c r="L312" s="487">
        <v>0.98686521573119512</v>
      </c>
      <c r="M312" s="485">
        <v>0.98358151966399388</v>
      </c>
      <c r="N312" s="489">
        <f>1-('Evento Cotiz'!I363/'Evento Cotiz'!L363)</f>
        <v>0.2504737752794588</v>
      </c>
      <c r="O312" s="511">
        <f>+'Evento Cotiz'!L363-'Evento Cotiz'!I363</f>
        <v>29897.915200000003</v>
      </c>
      <c r="P312" s="496"/>
    </row>
    <row r="313" spans="1:16" ht="36">
      <c r="A313" s="112"/>
      <c r="B313" s="112"/>
      <c r="F313" s="67">
        <v>312</v>
      </c>
      <c r="G313" s="74" t="s">
        <v>288</v>
      </c>
      <c r="H313" s="457" t="e">
        <f t="shared" si="4"/>
        <v>#N/A</v>
      </c>
      <c r="I313" s="458"/>
      <c r="L313" s="487">
        <v>0.9866227120471599</v>
      </c>
      <c r="M313" s="485">
        <v>0.9832783900589499</v>
      </c>
      <c r="N313" s="489">
        <f>1-('Evento Cotiz'!I364/'Evento Cotiz'!L364)</f>
        <v>0.24946370620267322</v>
      </c>
      <c r="O313" s="511">
        <f>+'Evento Cotiz'!L364-'Evento Cotiz'!I364</f>
        <v>29737.2736</v>
      </c>
      <c r="P313" s="496"/>
    </row>
    <row r="314" spans="1:16" ht="36">
      <c r="A314" s="112"/>
      <c r="B314" s="112"/>
      <c r="F314" s="67">
        <v>313</v>
      </c>
      <c r="G314" s="74" t="s">
        <v>289</v>
      </c>
      <c r="H314" s="457" t="e">
        <f t="shared" si="4"/>
        <v>#N/A</v>
      </c>
      <c r="I314" s="458"/>
      <c r="L314" s="487">
        <v>0.98449974398361495</v>
      </c>
      <c r="M314" s="485">
        <v>0.98062467997951863</v>
      </c>
      <c r="N314" s="489">
        <f>1-('Evento Cotiz'!I365/'Evento Cotiz'!L365)</f>
        <v>0.49565554026152792</v>
      </c>
      <c r="O314" s="511">
        <f>+'Evento Cotiz'!L365-'Evento Cotiz'!I365</f>
        <v>75554.006399999998</v>
      </c>
      <c r="P314" s="496"/>
    </row>
    <row r="315" spans="1:16" ht="36">
      <c r="A315" s="112"/>
      <c r="B315" s="112"/>
      <c r="F315" s="67">
        <v>314</v>
      </c>
      <c r="G315" s="74" t="s">
        <v>290</v>
      </c>
      <c r="H315" s="457" t="e">
        <f t="shared" si="4"/>
        <v>#N/A</v>
      </c>
      <c r="I315" s="458"/>
      <c r="L315" s="487">
        <v>0.98412596311160205</v>
      </c>
      <c r="M315" s="485">
        <v>0.98015745388950259</v>
      </c>
      <c r="N315" s="489">
        <f>1-('Evento Cotiz'!I366/'Evento Cotiz'!L366)</f>
        <v>0.49573868727197146</v>
      </c>
      <c r="O315" s="511">
        <f>+'Evento Cotiz'!L366-'Evento Cotiz'!I366</f>
        <v>75579.140800000008</v>
      </c>
      <c r="P315" s="496"/>
    </row>
    <row r="316" spans="1:16" ht="36">
      <c r="A316" s="112"/>
      <c r="B316" s="112"/>
      <c r="F316" s="67">
        <v>315</v>
      </c>
      <c r="G316" s="74" t="s">
        <v>291</v>
      </c>
      <c r="H316" s="457" t="e">
        <f t="shared" si="4"/>
        <v>#N/A</v>
      </c>
      <c r="I316" s="458"/>
      <c r="L316" s="487">
        <v>0.98451665700548985</v>
      </c>
      <c r="M316" s="485">
        <v>0.98064582125686228</v>
      </c>
      <c r="N316" s="489">
        <f>1-('Evento Cotiz'!I367/'Evento Cotiz'!L367)</f>
        <v>0.49532991865019593</v>
      </c>
      <c r="O316" s="511">
        <f>+'Evento Cotiz'!L367-'Evento Cotiz'!I367</f>
        <v>75455.654400000014</v>
      </c>
      <c r="P316" s="496"/>
    </row>
    <row r="317" spans="1:16" ht="36">
      <c r="A317" s="112"/>
      <c r="B317" s="112"/>
      <c r="F317" s="67">
        <v>316</v>
      </c>
      <c r="G317" s="74" t="s">
        <v>292</v>
      </c>
      <c r="H317" s="457" t="e">
        <f t="shared" si="4"/>
        <v>#N/A</v>
      </c>
      <c r="I317" s="458"/>
      <c r="L317" s="487">
        <v>0.98421458815676954</v>
      </c>
      <c r="M317" s="485">
        <v>0.98026823519596185</v>
      </c>
      <c r="N317" s="489">
        <f>1-('Evento Cotiz'!I368/'Evento Cotiz'!L368)</f>
        <v>0.49569892473118282</v>
      </c>
      <c r="O317" s="511">
        <f>+'Evento Cotiz'!L368-'Evento Cotiz'!I368</f>
        <v>75567.12000000001</v>
      </c>
      <c r="P317" s="496"/>
    </row>
    <row r="318" spans="1:16" ht="36">
      <c r="A318" s="112"/>
      <c r="B318" s="112"/>
      <c r="F318" s="67">
        <v>317</v>
      </c>
      <c r="G318" s="74" t="s">
        <v>293</v>
      </c>
      <c r="H318" s="457" t="e">
        <f t="shared" si="4"/>
        <v>#N/A</v>
      </c>
      <c r="I318" s="458"/>
      <c r="L318" s="487">
        <v>0.98177497473779574</v>
      </c>
      <c r="M318" s="485">
        <v>0.97721871842224473</v>
      </c>
      <c r="N318" s="489">
        <f>1-('Evento Cotiz'!I369/'Evento Cotiz'!L369)</f>
        <v>0.55896891760249445</v>
      </c>
      <c r="O318" s="511">
        <f>+'Evento Cotiz'!L369-'Evento Cotiz'!I369</f>
        <v>168675.86560000002</v>
      </c>
      <c r="P318" s="496"/>
    </row>
    <row r="319" spans="1:16" ht="36">
      <c r="A319" s="112"/>
      <c r="B319" s="112"/>
      <c r="F319" s="67">
        <v>318</v>
      </c>
      <c r="G319" s="74" t="s">
        <v>294</v>
      </c>
      <c r="H319" s="457" t="e">
        <f t="shared" si="4"/>
        <v>#N/A</v>
      </c>
      <c r="I319" s="458"/>
      <c r="L319" s="487">
        <v>0.98167632994096932</v>
      </c>
      <c r="M319" s="485">
        <v>0.97709541242621167</v>
      </c>
      <c r="N319" s="489">
        <f>1-('Evento Cotiz'!I370/'Evento Cotiz'!L370)</f>
        <v>0.56193076358613547</v>
      </c>
      <c r="O319" s="511">
        <f>+'Evento Cotiz'!L370-'Evento Cotiz'!I370</f>
        <v>170716.12320000003</v>
      </c>
      <c r="P319" s="496"/>
    </row>
    <row r="320" spans="1:16" ht="36">
      <c r="A320" s="112"/>
      <c r="B320" s="112"/>
      <c r="F320" s="67">
        <v>319</v>
      </c>
      <c r="G320" s="74" t="s">
        <v>295</v>
      </c>
      <c r="H320" s="457" t="e">
        <f t="shared" si="4"/>
        <v>#N/A</v>
      </c>
      <c r="I320" s="458"/>
      <c r="L320" s="487">
        <v>0.98187652028080585</v>
      </c>
      <c r="M320" s="485">
        <v>0.97734565035100729</v>
      </c>
      <c r="N320" s="489">
        <f>1-('Evento Cotiz'!I371/'Evento Cotiz'!L371)</f>
        <v>0.55983446580887675</v>
      </c>
      <c r="O320" s="511">
        <f>+'Evento Cotiz'!L371-'Evento Cotiz'!I371</f>
        <v>169269.25599999999</v>
      </c>
      <c r="P320" s="496"/>
    </row>
    <row r="321" spans="1:16" ht="36">
      <c r="A321" s="112"/>
      <c r="B321" s="112"/>
      <c r="F321" s="67">
        <v>320</v>
      </c>
      <c r="G321" s="74" t="s">
        <v>296</v>
      </c>
      <c r="H321" s="457" t="e">
        <f t="shared" si="4"/>
        <v>#N/A</v>
      </c>
      <c r="I321" s="458"/>
      <c r="L321" s="487">
        <v>0.98212153011591063</v>
      </c>
      <c r="M321" s="485">
        <v>0.97765191264488827</v>
      </c>
      <c r="N321" s="489">
        <f>1-('Evento Cotiz'!I372/'Evento Cotiz'!L372)</f>
        <v>0.56014129221700926</v>
      </c>
      <c r="O321" s="511">
        <f>+'Evento Cotiz'!L372-'Evento Cotiz'!I372</f>
        <v>169480.16639999999</v>
      </c>
      <c r="P321" s="496"/>
    </row>
    <row r="322" spans="1:16" ht="36">
      <c r="A322" s="112"/>
      <c r="B322" s="112"/>
      <c r="F322" s="67">
        <v>321</v>
      </c>
      <c r="G322" s="74" t="s">
        <v>297</v>
      </c>
      <c r="H322" s="457" t="e">
        <f t="shared" si="4"/>
        <v>#N/A</v>
      </c>
      <c r="I322" s="458"/>
      <c r="L322" s="487">
        <v>0.97901715658872546</v>
      </c>
      <c r="M322" s="485">
        <v>0.97377144573590679</v>
      </c>
      <c r="N322" s="489">
        <v>0</v>
      </c>
      <c r="O322" s="511">
        <f>+'Evento Cotiz'!L373-'Evento Cotiz'!I373</f>
        <v>-86451.408000000054</v>
      </c>
      <c r="P322" s="496"/>
    </row>
    <row r="323" spans="1:16" ht="36">
      <c r="A323" s="112"/>
      <c r="B323" s="112"/>
      <c r="F323" s="67">
        <v>322</v>
      </c>
      <c r="G323" s="74" t="s">
        <v>298</v>
      </c>
      <c r="H323" s="457" t="e">
        <f t="shared" ref="H323:H386" si="5">VLOOKUP(F323,$A$2:$B$431,2,0)</f>
        <v>#N/A</v>
      </c>
      <c r="I323" s="458"/>
      <c r="L323" s="487">
        <v>0.97853503132053321</v>
      </c>
      <c r="M323" s="485">
        <v>0.97316878915066651</v>
      </c>
      <c r="N323" s="489">
        <v>0</v>
      </c>
      <c r="O323" s="511">
        <f>+'Evento Cotiz'!L374-'Evento Cotiz'!I374</f>
        <v>-83830.87360000005</v>
      </c>
      <c r="P323" s="496"/>
    </row>
    <row r="324" spans="1:16" ht="36">
      <c r="A324" s="112"/>
      <c r="B324" s="112"/>
      <c r="F324" s="67">
        <v>323</v>
      </c>
      <c r="G324" s="74" t="s">
        <v>299</v>
      </c>
      <c r="H324" s="457" t="e">
        <f t="shared" si="5"/>
        <v>#N/A</v>
      </c>
      <c r="I324" s="458"/>
      <c r="L324" s="487">
        <v>0.97887149912041438</v>
      </c>
      <c r="M324" s="485">
        <v>0.97358937390051803</v>
      </c>
      <c r="N324" s="489">
        <v>0</v>
      </c>
      <c r="O324" s="511">
        <f>+'Evento Cotiz'!L375-'Evento Cotiz'!I375</f>
        <v>-82397.119999999995</v>
      </c>
      <c r="P324" s="496"/>
    </row>
    <row r="325" spans="1:16" ht="36">
      <c r="A325" s="112"/>
      <c r="B325" s="112"/>
      <c r="F325" s="67">
        <v>324</v>
      </c>
      <c r="G325" s="74" t="s">
        <v>300</v>
      </c>
      <c r="H325" s="457" t="e">
        <f t="shared" si="5"/>
        <v>#N/A</v>
      </c>
      <c r="I325" s="458"/>
      <c r="L325" s="487">
        <v>0.98540742999679409</v>
      </c>
      <c r="M325" s="485">
        <v>0.98175928749599251</v>
      </c>
      <c r="N325" s="489">
        <f>1-('Evento Cotiz'!I376/'Evento Cotiz'!L376)</f>
        <v>0.61482140082345693</v>
      </c>
      <c r="O325" s="511">
        <f>+'Evento Cotiz'!L376-'Evento Cotiz'!I376</f>
        <v>652901.00959999999</v>
      </c>
      <c r="P325" s="496"/>
    </row>
    <row r="326" spans="1:16" ht="36">
      <c r="A326" s="112"/>
      <c r="B326" s="112"/>
      <c r="F326" s="67">
        <v>325</v>
      </c>
      <c r="G326" s="74" t="s">
        <v>301</v>
      </c>
      <c r="H326" s="457" t="e">
        <f t="shared" si="5"/>
        <v>#N/A</v>
      </c>
      <c r="I326" s="458"/>
      <c r="L326" s="487">
        <v>0.98548303034546059</v>
      </c>
      <c r="M326" s="485">
        <v>0.98185378793182576</v>
      </c>
      <c r="N326" s="489">
        <f>1-('Evento Cotiz'!I377/'Evento Cotiz'!L377)</f>
        <v>0.6144444776356166</v>
      </c>
      <c r="O326" s="511">
        <f>+'Evento Cotiz'!L377-'Evento Cotiz'!I377</f>
        <v>651862.84959999984</v>
      </c>
      <c r="P326" s="496"/>
    </row>
    <row r="327" spans="1:16" ht="36">
      <c r="A327" s="112"/>
      <c r="B327" s="112"/>
      <c r="F327" s="67">
        <v>326</v>
      </c>
      <c r="G327" s="74" t="s">
        <v>302</v>
      </c>
      <c r="H327" s="457" t="e">
        <f t="shared" si="5"/>
        <v>#N/A</v>
      </c>
      <c r="I327" s="458"/>
      <c r="L327" s="487">
        <v>0.9855533514606698</v>
      </c>
      <c r="M327" s="485">
        <v>0.98194168932583725</v>
      </c>
      <c r="N327" s="489">
        <f>1-('Evento Cotiz'!I378/'Evento Cotiz'!L378)</f>
        <v>0.61588115406008392</v>
      </c>
      <c r="O327" s="511">
        <f>+'Evento Cotiz'!L378-'Evento Cotiz'!I378</f>
        <v>655830.80639999988</v>
      </c>
      <c r="P327" s="496"/>
    </row>
    <row r="328" spans="1:16" ht="36">
      <c r="A328" s="112"/>
      <c r="B328" s="112"/>
      <c r="F328" s="67">
        <v>327</v>
      </c>
      <c r="G328" s="74" t="s">
        <v>303</v>
      </c>
      <c r="H328" s="457" t="e">
        <f t="shared" si="5"/>
        <v>#N/A</v>
      </c>
      <c r="I328" s="458"/>
      <c r="L328" s="487">
        <v>0.98806071554873431</v>
      </c>
      <c r="M328" s="485">
        <v>0.98507589443591781</v>
      </c>
      <c r="N328" s="489">
        <f>1-('Evento Cotiz'!I379/'Evento Cotiz'!L379)</f>
        <v>0.65588715857001034</v>
      </c>
      <c r="O328" s="511">
        <f>+'Evento Cotiz'!L379-'Evento Cotiz'!I379</f>
        <v>1569571.1551999999</v>
      </c>
      <c r="P328" s="496"/>
    </row>
    <row r="329" spans="1:16" ht="36">
      <c r="A329" s="112"/>
      <c r="B329" s="112"/>
      <c r="F329" s="67">
        <v>328</v>
      </c>
      <c r="G329" s="74" t="s">
        <v>304</v>
      </c>
      <c r="H329" s="457" t="e">
        <f t="shared" si="5"/>
        <v>#N/A</v>
      </c>
      <c r="I329" s="458"/>
      <c r="L329" s="487">
        <v>0.98799771631921096</v>
      </c>
      <c r="M329" s="485">
        <v>0.98499714539901362</v>
      </c>
      <c r="N329" s="489">
        <f>1-('Evento Cotiz'!I380/'Evento Cotiz'!L380)</f>
        <v>0.65783141721046001</v>
      </c>
      <c r="O329" s="511">
        <f>+'Evento Cotiz'!L380-'Evento Cotiz'!I380</f>
        <v>1583168.8656000001</v>
      </c>
      <c r="P329" s="496"/>
    </row>
    <row r="330" spans="1:16" ht="36">
      <c r="A330" s="112"/>
      <c r="B330" s="112"/>
      <c r="F330" s="67">
        <v>329</v>
      </c>
      <c r="G330" s="74" t="s">
        <v>305</v>
      </c>
      <c r="H330" s="457" t="e">
        <f t="shared" si="5"/>
        <v>#N/A</v>
      </c>
      <c r="I330" s="458"/>
      <c r="L330" s="487">
        <v>0.98824083518998784</v>
      </c>
      <c r="M330" s="485">
        <v>0.98530104398748486</v>
      </c>
      <c r="N330" s="489">
        <f>1-('Evento Cotiz'!I381/'Evento Cotiz'!L381)</f>
        <v>0.65594214915276527</v>
      </c>
      <c r="O330" s="511">
        <f>+'Evento Cotiz'!L381-'Evento Cotiz'!I381</f>
        <v>1569953.6351999999</v>
      </c>
      <c r="P330" s="496"/>
    </row>
    <row r="331" spans="1:16" ht="36">
      <c r="A331" s="112"/>
      <c r="B331" s="112"/>
      <c r="F331" s="67">
        <v>330</v>
      </c>
      <c r="G331" s="74" t="s">
        <v>306</v>
      </c>
      <c r="H331" s="457" t="e">
        <f t="shared" si="5"/>
        <v>#N/A</v>
      </c>
      <c r="I331" s="458"/>
      <c r="L331" s="487">
        <v>0.98566540342581643</v>
      </c>
      <c r="M331" s="485">
        <v>0.98208175428227062</v>
      </c>
      <c r="N331" s="489">
        <f>1-('Evento Cotiz'!I382/'Evento Cotiz'!L382)</f>
        <v>0.64191354951436197</v>
      </c>
      <c r="O331" s="511">
        <f>+'Evento Cotiz'!L382-'Evento Cotiz'!I382</f>
        <v>3711242.7807999998</v>
      </c>
      <c r="P331" s="496"/>
    </row>
    <row r="332" spans="1:16" ht="36">
      <c r="A332" s="112"/>
      <c r="B332" s="112"/>
      <c r="F332" s="67">
        <v>331</v>
      </c>
      <c r="G332" s="74" t="s">
        <v>307</v>
      </c>
      <c r="H332" s="457" t="e">
        <f t="shared" si="5"/>
        <v>#N/A</v>
      </c>
      <c r="I332" s="458"/>
      <c r="L332" s="487">
        <v>0.98573895660902799</v>
      </c>
      <c r="M332" s="485">
        <v>0.98217369576128499</v>
      </c>
      <c r="N332" s="489">
        <f>1-('Evento Cotiz'!I383/'Evento Cotiz'!L383)</f>
        <v>0.64075287765766509</v>
      </c>
      <c r="O332" s="511">
        <f>+'Evento Cotiz'!L383-'Evento Cotiz'!I383</f>
        <v>3692563.5504000001</v>
      </c>
      <c r="P332" s="496"/>
    </row>
    <row r="333" spans="1:16" ht="36">
      <c r="A333" s="112"/>
      <c r="B333" s="112"/>
      <c r="F333" s="67">
        <v>332</v>
      </c>
      <c r="G333" s="74" t="s">
        <v>308</v>
      </c>
      <c r="H333" s="457" t="e">
        <f t="shared" si="5"/>
        <v>#N/A</v>
      </c>
      <c r="I333" s="458"/>
      <c r="L333" s="487">
        <v>0.98563624051276955</v>
      </c>
      <c r="M333" s="485">
        <v>0.98204530064096185</v>
      </c>
      <c r="N333" s="489">
        <f>1-('Evento Cotiz'!I384/'Evento Cotiz'!L384)</f>
        <v>0.64133377912288758</v>
      </c>
      <c r="O333" s="511">
        <f>+'Evento Cotiz'!L384-'Evento Cotiz'!I384</f>
        <v>3701897.1551999999</v>
      </c>
      <c r="P333" s="496"/>
    </row>
    <row r="334" spans="1:16" ht="36">
      <c r="A334" s="112"/>
      <c r="B334" s="112"/>
      <c r="F334" s="67">
        <v>333</v>
      </c>
      <c r="G334" s="74" t="s">
        <v>309</v>
      </c>
      <c r="H334" s="457" t="e">
        <f t="shared" si="5"/>
        <v>#N/A</v>
      </c>
      <c r="I334" s="458"/>
      <c r="L334" s="487">
        <v>0.99044177515029919</v>
      </c>
      <c r="M334" s="485">
        <v>0.98805221893787398</v>
      </c>
      <c r="N334" s="489">
        <f>1-('Evento Cotiz'!I385/'Evento Cotiz'!L385)</f>
        <v>0.82436089752073349</v>
      </c>
      <c r="O334" s="511">
        <f>+'Evento Cotiz'!L385-'Evento Cotiz'!I385</f>
        <v>7324282.1823999994</v>
      </c>
      <c r="P334" s="496"/>
    </row>
    <row r="335" spans="1:16" ht="36">
      <c r="A335" s="112"/>
      <c r="B335" s="112"/>
      <c r="F335" s="67">
        <v>334</v>
      </c>
      <c r="G335" s="74" t="s">
        <v>310</v>
      </c>
      <c r="H335" s="457" t="e">
        <f t="shared" si="5"/>
        <v>#N/A</v>
      </c>
      <c r="I335" s="458"/>
      <c r="L335" s="487">
        <v>0.99048113285631345</v>
      </c>
      <c r="M335" s="485">
        <v>0.98810141607039181</v>
      </c>
      <c r="N335" s="489">
        <f>1-('Evento Cotiz'!I386/'Evento Cotiz'!L386)</f>
        <v>0.79014941160583085</v>
      </c>
      <c r="O335" s="511">
        <f>+'Evento Cotiz'!L386-'Evento Cotiz'!I386</f>
        <v>6879987.9503999986</v>
      </c>
      <c r="P335" s="496"/>
    </row>
    <row r="336" spans="1:16" ht="36">
      <c r="A336" s="112"/>
      <c r="B336" s="112"/>
      <c r="F336" s="67">
        <v>335</v>
      </c>
      <c r="G336" s="74" t="s">
        <v>311</v>
      </c>
      <c r="H336" s="457" t="e">
        <f t="shared" si="5"/>
        <v>#N/A</v>
      </c>
      <c r="I336" s="458"/>
      <c r="L336" s="487">
        <v>0.975197295202617</v>
      </c>
      <c r="M336" s="485">
        <v>0.96899661900327116</v>
      </c>
      <c r="N336" s="489">
        <f>1-('Evento Cotiz'!I387/'Evento Cotiz'!L387)</f>
        <v>0.21716232693688009</v>
      </c>
      <c r="O336" s="511">
        <f>+'Evento Cotiz'!L387-'Evento Cotiz'!I387</f>
        <v>109769.57439999998</v>
      </c>
      <c r="P336" s="496"/>
    </row>
    <row r="337" spans="1:16" ht="36">
      <c r="A337" s="112"/>
      <c r="B337" s="112"/>
      <c r="F337" s="67">
        <v>336</v>
      </c>
      <c r="G337" s="74" t="s">
        <v>312</v>
      </c>
      <c r="H337" s="457" t="e">
        <f t="shared" si="5"/>
        <v>#N/A</v>
      </c>
      <c r="I337" s="458"/>
      <c r="L337" s="487">
        <v>0.9753514848619339</v>
      </c>
      <c r="M337" s="485">
        <v>0.96918935607741741</v>
      </c>
      <c r="N337" s="489">
        <f>1-('Evento Cotiz'!I388/'Evento Cotiz'!L388)</f>
        <v>0.2110374172959294</v>
      </c>
      <c r="O337" s="511">
        <f>+'Evento Cotiz'!L388-'Evento Cotiz'!I388</f>
        <v>114468.61439999996</v>
      </c>
      <c r="P337" s="496"/>
    </row>
    <row r="338" spans="1:16" ht="36">
      <c r="A338" s="112"/>
      <c r="B338" s="112"/>
      <c r="F338" s="67">
        <v>337</v>
      </c>
      <c r="G338" s="74" t="s">
        <v>313</v>
      </c>
      <c r="H338" s="457" t="e">
        <f t="shared" si="5"/>
        <v>#N/A</v>
      </c>
      <c r="I338" s="458"/>
      <c r="L338" s="487">
        <v>0.98409874061042701</v>
      </c>
      <c r="M338" s="485">
        <v>0.98012342576303368</v>
      </c>
      <c r="N338" s="489">
        <f>1-('Evento Cotiz'!I389/'Evento Cotiz'!L389)</f>
        <v>0.43975472130752269</v>
      </c>
      <c r="O338" s="511">
        <f>+'Evento Cotiz'!L389-'Evento Cotiz'!I389</f>
        <v>406584.98240000004</v>
      </c>
      <c r="P338" s="496"/>
    </row>
    <row r="339" spans="1:16" ht="36">
      <c r="A339" s="112"/>
      <c r="B339" s="112"/>
      <c r="F339" s="67">
        <v>338</v>
      </c>
      <c r="G339" s="74" t="s">
        <v>314</v>
      </c>
      <c r="H339" s="457" t="e">
        <f t="shared" si="5"/>
        <v>#N/A</v>
      </c>
      <c r="I339" s="458"/>
      <c r="L339" s="487">
        <v>0.98724503008997511</v>
      </c>
      <c r="M339" s="485">
        <v>0.98405628761246877</v>
      </c>
      <c r="N339" s="489">
        <f>1-('Evento Cotiz'!I390/'Evento Cotiz'!L390)</f>
        <v>0.58456919870914903</v>
      </c>
      <c r="O339" s="511">
        <f>+'Evento Cotiz'!L390-'Evento Cotiz'!I390</f>
        <v>709658.85600000015</v>
      </c>
      <c r="P339" s="496"/>
    </row>
    <row r="340" spans="1:16" ht="36">
      <c r="A340" s="112"/>
      <c r="B340" s="112"/>
      <c r="F340" s="67">
        <v>339</v>
      </c>
      <c r="G340" s="74" t="s">
        <v>315</v>
      </c>
      <c r="H340" s="457" t="e">
        <f t="shared" si="5"/>
        <v>#N/A</v>
      </c>
      <c r="I340" s="458"/>
      <c r="L340" s="487">
        <v>0.9883602553432278</v>
      </c>
      <c r="M340" s="485">
        <v>0.98545031917903469</v>
      </c>
      <c r="N340" s="489">
        <f>1-('Evento Cotiz'!I391/'Evento Cotiz'!L391)</f>
        <v>0.4205977090280717</v>
      </c>
      <c r="O340" s="511">
        <f>+'Evento Cotiz'!L391-'Evento Cotiz'!I391</f>
        <v>541811.33279999986</v>
      </c>
      <c r="P340" s="496"/>
    </row>
    <row r="341" spans="1:16" ht="36">
      <c r="A341" s="112"/>
      <c r="B341" s="112"/>
      <c r="F341" s="67">
        <v>340</v>
      </c>
      <c r="G341" s="74" t="s">
        <v>316</v>
      </c>
      <c r="H341" s="457" t="e">
        <f t="shared" si="5"/>
        <v>#N/A</v>
      </c>
      <c r="I341" s="458"/>
      <c r="L341" s="487">
        <v>0.97709798995966035</v>
      </c>
      <c r="M341" s="485">
        <v>0.97137248744957538</v>
      </c>
      <c r="N341" s="489">
        <f>1-('Evento Cotiz'!I392/'Evento Cotiz'!L392)</f>
        <v>0.20624944105899157</v>
      </c>
      <c r="O341" s="511">
        <f>+'Evento Cotiz'!L392-'Evento Cotiz'!I392</f>
        <v>269669.16319999995</v>
      </c>
      <c r="P341" s="496"/>
    </row>
    <row r="342" spans="1:16">
      <c r="A342" s="112"/>
      <c r="B342" s="112"/>
      <c r="F342" s="67">
        <v>341</v>
      </c>
      <c r="G342" s="74" t="s">
        <v>317</v>
      </c>
      <c r="H342" s="457" t="e">
        <f t="shared" si="5"/>
        <v>#N/A</v>
      </c>
      <c r="I342" s="458"/>
      <c r="L342" s="487">
        <v>0.99024344525410624</v>
      </c>
      <c r="M342" s="485">
        <v>0.98780430656763274</v>
      </c>
      <c r="N342" s="489">
        <f>1-('Evento Cotiz'!I393/'Evento Cotiz'!L393)</f>
        <v>0.75405688676858573</v>
      </c>
      <c r="O342" s="511">
        <f>+'Evento Cotiz'!L393-'Evento Cotiz'!I393</f>
        <v>68400.537599999996</v>
      </c>
      <c r="P342" s="496"/>
    </row>
    <row r="343" spans="1:16">
      <c r="A343" s="112"/>
      <c r="B343" s="112"/>
      <c r="F343" s="67">
        <v>342</v>
      </c>
      <c r="G343" s="74" t="s">
        <v>318</v>
      </c>
      <c r="H343" s="457" t="e">
        <f t="shared" si="5"/>
        <v>#N/A</v>
      </c>
      <c r="I343" s="458"/>
      <c r="L343" s="487">
        <v>0.99133067580047463</v>
      </c>
      <c r="M343" s="485">
        <v>0.98916334475059331</v>
      </c>
      <c r="N343" s="489">
        <f>1-('Evento Cotiz'!I394/'Evento Cotiz'!L394)</f>
        <v>0.5393266704319426</v>
      </c>
      <c r="O343" s="511">
        <f>+'Evento Cotiz'!L394-'Evento Cotiz'!I394</f>
        <v>48002.332800000004</v>
      </c>
      <c r="P343" s="496"/>
    </row>
    <row r="344" spans="1:16">
      <c r="A344" s="112"/>
      <c r="B344" s="112"/>
      <c r="F344" s="67">
        <v>343</v>
      </c>
      <c r="G344" s="74" t="s">
        <v>319</v>
      </c>
      <c r="H344" s="457" t="e">
        <f t="shared" si="5"/>
        <v>#N/A</v>
      </c>
      <c r="I344" s="458"/>
      <c r="L344" s="487">
        <v>0.98502720348204575</v>
      </c>
      <c r="M344" s="485">
        <v>0.98128400435255714</v>
      </c>
      <c r="N344" s="489">
        <v>0</v>
      </c>
      <c r="O344" s="511">
        <f>+'Evento Cotiz'!L395-'Evento Cotiz'!I395</f>
        <v>-18430.072</v>
      </c>
      <c r="P344" s="496"/>
    </row>
    <row r="345" spans="1:16">
      <c r="A345" s="112"/>
      <c r="B345" s="112"/>
      <c r="F345" s="67">
        <v>344</v>
      </c>
      <c r="G345" s="74" t="s">
        <v>320</v>
      </c>
      <c r="H345" s="457" t="e">
        <f t="shared" si="5"/>
        <v>#N/A</v>
      </c>
      <c r="I345" s="458"/>
      <c r="L345" s="487">
        <v>0.97236016612176368</v>
      </c>
      <c r="M345" s="485">
        <v>0.96545020765220468</v>
      </c>
      <c r="N345" s="489">
        <v>0</v>
      </c>
      <c r="O345" s="511">
        <f>+'Evento Cotiz'!L396-'Evento Cotiz'!I396</f>
        <v>-2770.2479999999996</v>
      </c>
      <c r="P345" s="496"/>
    </row>
    <row r="346" spans="1:16" ht="48">
      <c r="A346" s="112"/>
      <c r="B346" s="112"/>
      <c r="F346" s="67">
        <v>345</v>
      </c>
      <c r="G346" s="74" t="s">
        <v>321</v>
      </c>
      <c r="H346" s="457" t="e">
        <f t="shared" si="5"/>
        <v>#N/A</v>
      </c>
      <c r="I346" s="458"/>
      <c r="L346" s="487">
        <v>0.99085265044222215</v>
      </c>
      <c r="M346" s="485">
        <v>0.98856581305277758</v>
      </c>
      <c r="N346" s="489">
        <f>1-('Evento Cotiz'!I397/'Evento Cotiz'!L397)</f>
        <v>0.31110321505587135</v>
      </c>
      <c r="O346" s="511">
        <f>+'Evento Cotiz'!L397-'Evento Cotiz'!I397</f>
        <v>27747.284800000001</v>
      </c>
      <c r="P346" s="496"/>
    </row>
    <row r="347" spans="1:16" ht="48">
      <c r="A347" s="112"/>
      <c r="B347" s="112"/>
      <c r="F347" s="67">
        <v>346</v>
      </c>
      <c r="G347" s="74" t="s">
        <v>322</v>
      </c>
      <c r="H347" s="457" t="e">
        <f t="shared" si="5"/>
        <v>#N/A</v>
      </c>
      <c r="I347" s="458"/>
      <c r="L347" s="487">
        <v>0.98934736842105264</v>
      </c>
      <c r="M347" s="485">
        <v>0.98668421052631583</v>
      </c>
      <c r="N347" s="489">
        <f>1-('Evento Cotiz'!I398/'Evento Cotiz'!L398)</f>
        <v>0.27500687631796084</v>
      </c>
      <c r="O347" s="511">
        <f>+'Evento Cotiz'!L398-'Evento Cotiz'!I398</f>
        <v>32778.535999999993</v>
      </c>
      <c r="P347" s="496"/>
    </row>
    <row r="348" spans="1:16" ht="72">
      <c r="A348" s="112"/>
      <c r="B348" s="112"/>
      <c r="F348" s="67">
        <v>347</v>
      </c>
      <c r="G348" s="74" t="s">
        <v>323</v>
      </c>
      <c r="H348" s="457" t="e">
        <f t="shared" si="5"/>
        <v>#N/A</v>
      </c>
      <c r="I348" s="458"/>
      <c r="L348" s="487">
        <v>0.99275825346112889</v>
      </c>
      <c r="M348" s="485">
        <v>0.99094781682641109</v>
      </c>
      <c r="N348" s="489">
        <f>1-('Evento Cotiz'!I399/'Evento Cotiz'!L399)</f>
        <v>0.80559483553642797</v>
      </c>
      <c r="O348" s="511">
        <f>+'Evento Cotiz'!L399-'Evento Cotiz'!I399</f>
        <v>100232.70880000001</v>
      </c>
      <c r="P348" s="496"/>
    </row>
    <row r="349" spans="1:16" ht="72">
      <c r="A349" s="112"/>
      <c r="B349" s="112"/>
      <c r="F349" s="67">
        <v>348</v>
      </c>
      <c r="G349" s="74" t="s">
        <v>324</v>
      </c>
      <c r="H349" s="457" t="e">
        <f t="shared" si="5"/>
        <v>#N/A</v>
      </c>
      <c r="I349" s="458"/>
      <c r="L349" s="487">
        <v>0.99290434782608694</v>
      </c>
      <c r="M349" s="485">
        <v>0.99113043478260865</v>
      </c>
      <c r="N349" s="489">
        <f>1-('Evento Cotiz'!I400/'Evento Cotiz'!L400)</f>
        <v>0.80678614139685922</v>
      </c>
      <c r="O349" s="511">
        <f>+'Evento Cotiz'!L400-'Evento Cotiz'!I400</f>
        <v>100999.8544</v>
      </c>
      <c r="P349" s="496"/>
    </row>
    <row r="350" spans="1:16" ht="72">
      <c r="A350" s="112"/>
      <c r="B350" s="112"/>
      <c r="F350" s="67">
        <v>349</v>
      </c>
      <c r="G350" s="74" t="s">
        <v>325</v>
      </c>
      <c r="H350" s="457" t="e">
        <f t="shared" si="5"/>
        <v>#N/A</v>
      </c>
      <c r="I350" s="458"/>
      <c r="L350" s="487">
        <v>0.98531569205456915</v>
      </c>
      <c r="M350" s="485">
        <v>0.98164461506821143</v>
      </c>
      <c r="N350" s="489">
        <f>1-('Evento Cotiz'!I401/'Evento Cotiz'!L401)</f>
        <v>0.60399334442595676</v>
      </c>
      <c r="O350" s="511">
        <f>+'Evento Cotiz'!L401-'Evento Cotiz'!I401</f>
        <v>36891.835200000001</v>
      </c>
      <c r="P350" s="496"/>
    </row>
    <row r="351" spans="1:16" ht="60">
      <c r="A351" s="112"/>
      <c r="B351" s="112"/>
      <c r="F351" s="67">
        <v>350</v>
      </c>
      <c r="G351" s="74" t="s">
        <v>326</v>
      </c>
      <c r="H351" s="457" t="e">
        <f t="shared" si="5"/>
        <v>#N/A</v>
      </c>
      <c r="I351" s="458"/>
      <c r="L351" s="487">
        <v>0.98420344354869138</v>
      </c>
      <c r="M351" s="485">
        <v>0.98025430443586425</v>
      </c>
      <c r="N351" s="489">
        <f>1-('Evento Cotiz'!I402/'Evento Cotiz'!L402)</f>
        <v>0.43977772873037924</v>
      </c>
      <c r="O351" s="511">
        <f>+'Evento Cotiz'!L402-'Evento Cotiz'!I402</f>
        <v>37016.414400000001</v>
      </c>
      <c r="P351" s="496"/>
    </row>
    <row r="352" spans="1:16" ht="60">
      <c r="A352" s="112"/>
      <c r="B352" s="112"/>
      <c r="F352" s="67">
        <v>351</v>
      </c>
      <c r="G352" s="74" t="s">
        <v>327</v>
      </c>
      <c r="H352" s="457" t="e">
        <f t="shared" si="5"/>
        <v>#N/A</v>
      </c>
      <c r="I352" s="458"/>
      <c r="L352" s="487">
        <v>0.98212858355181132</v>
      </c>
      <c r="M352" s="485">
        <v>0.97766072943976412</v>
      </c>
      <c r="N352" s="489">
        <f>1-('Evento Cotiz'!I403/'Evento Cotiz'!L403)</f>
        <v>0.41266501814701073</v>
      </c>
      <c r="O352" s="511">
        <f>+'Evento Cotiz'!L403-'Evento Cotiz'!I403</f>
        <v>90455.427199999991</v>
      </c>
      <c r="P352" s="496"/>
    </row>
    <row r="353" spans="1:16" ht="48">
      <c r="A353" s="112"/>
      <c r="B353" s="112"/>
      <c r="F353" s="67">
        <v>352</v>
      </c>
      <c r="G353" s="74" t="s">
        <v>328</v>
      </c>
      <c r="H353" s="457" t="e">
        <f t="shared" si="5"/>
        <v>#N/A</v>
      </c>
      <c r="I353" s="458"/>
      <c r="L353" s="487">
        <v>0.91155600403632697</v>
      </c>
      <c r="M353" s="485">
        <v>0.88944500504540869</v>
      </c>
      <c r="N353" s="489">
        <v>0</v>
      </c>
      <c r="O353" s="511">
        <f>+'Evento Cotiz'!L404-'Evento Cotiz'!I404</f>
        <v>-88425.004799999995</v>
      </c>
      <c r="P353" s="496"/>
    </row>
    <row r="354" spans="1:16" ht="48">
      <c r="A354" s="112"/>
      <c r="B354" s="112"/>
      <c r="F354" s="67">
        <v>353</v>
      </c>
      <c r="G354" s="74" t="s">
        <v>329</v>
      </c>
      <c r="H354" s="457" t="e">
        <f t="shared" si="5"/>
        <v>#N/A</v>
      </c>
      <c r="I354" s="458"/>
      <c r="L354" s="487">
        <v>0.98647141933999982</v>
      </c>
      <c r="M354" s="485">
        <v>0.98308927417499969</v>
      </c>
      <c r="N354" s="489">
        <v>0</v>
      </c>
      <c r="O354" s="511">
        <f>+'Evento Cotiz'!L405-'Evento Cotiz'!I405</f>
        <v>-32939.177599999995</v>
      </c>
      <c r="P354" s="496"/>
    </row>
    <row r="355" spans="1:16" ht="48">
      <c r="A355" s="112"/>
      <c r="B355" s="112"/>
      <c r="F355" s="67">
        <v>354</v>
      </c>
      <c r="G355" s="74" t="s">
        <v>330</v>
      </c>
      <c r="H355" s="457" t="e">
        <f t="shared" si="5"/>
        <v>#N/A</v>
      </c>
      <c r="I355" s="458"/>
      <c r="L355" s="487">
        <v>0.98527373635323801</v>
      </c>
      <c r="M355" s="485">
        <v>0.98159217044154756</v>
      </c>
      <c r="N355" s="489">
        <f>1-('Evento Cotiz'!I406/'Evento Cotiz'!L406)</f>
        <v>0.34184297132110963</v>
      </c>
      <c r="O355" s="511">
        <f>+'Evento Cotiz'!L406-'Evento Cotiz'!I406</f>
        <v>79457.488000000012</v>
      </c>
      <c r="P355" s="496"/>
    </row>
    <row r="356" spans="1:16" ht="36">
      <c r="A356" s="112"/>
      <c r="B356" s="112"/>
      <c r="F356" s="67">
        <v>355</v>
      </c>
      <c r="G356" s="74" t="s">
        <v>331</v>
      </c>
      <c r="H356" s="457" t="e">
        <f t="shared" si="5"/>
        <v>#N/A</v>
      </c>
      <c r="I356" s="458"/>
      <c r="L356" s="487">
        <v>0.98734709150044608</v>
      </c>
      <c r="M356" s="485">
        <v>0.98418386437555772</v>
      </c>
      <c r="N356" s="489">
        <f>1-('Evento Cotiz'!I407/'Evento Cotiz'!L407)</f>
        <v>0.60539226786226463</v>
      </c>
      <c r="O356" s="511">
        <f>+'Evento Cotiz'!L407-'Evento Cotiz'!I407</f>
        <v>43824.558399999994</v>
      </c>
      <c r="P356" s="496"/>
    </row>
    <row r="357" spans="1:16" ht="36">
      <c r="A357" s="112"/>
      <c r="B357" s="112"/>
      <c r="F357" s="67">
        <v>356</v>
      </c>
      <c r="G357" s="74" t="s">
        <v>332</v>
      </c>
      <c r="H357" s="457" t="e">
        <f t="shared" si="5"/>
        <v>#N/A</v>
      </c>
      <c r="I357" s="458"/>
      <c r="L357" s="487">
        <v>0.97832037608573919</v>
      </c>
      <c r="M357" s="485">
        <v>0.97290047010717406</v>
      </c>
      <c r="N357" s="489">
        <f>1-('Evento Cotiz'!I408/'Evento Cotiz'!L408)</f>
        <v>0.29185989957597225</v>
      </c>
      <c r="O357" s="511">
        <f>+'Evento Cotiz'!L408-'Evento Cotiz'!I408</f>
        <v>46559.836800000005</v>
      </c>
      <c r="P357" s="496"/>
    </row>
    <row r="358" spans="1:16" ht="36">
      <c r="A358" s="112"/>
      <c r="B358" s="112"/>
      <c r="F358" s="67">
        <v>357</v>
      </c>
      <c r="G358" s="74" t="s">
        <v>333</v>
      </c>
      <c r="H358" s="457" t="e">
        <f t="shared" si="5"/>
        <v>#N/A</v>
      </c>
      <c r="I358" s="458"/>
      <c r="L358" s="487">
        <v>0.9855499897771417</v>
      </c>
      <c r="M358" s="485">
        <v>0.98193748722142715</v>
      </c>
      <c r="N358" s="489">
        <f>1-('Evento Cotiz'!I409/'Evento Cotiz'!L409)</f>
        <v>0.41078591991801683</v>
      </c>
      <c r="O358" s="511">
        <f>+'Evento Cotiz'!L409-'Evento Cotiz'!I409</f>
        <v>66583.211200000005</v>
      </c>
      <c r="P358" s="496"/>
    </row>
    <row r="359" spans="1:16" ht="36">
      <c r="A359" s="112"/>
      <c r="B359" s="112"/>
      <c r="F359" s="67">
        <v>358</v>
      </c>
      <c r="G359" s="74" t="s">
        <v>334</v>
      </c>
      <c r="H359" s="457" t="e">
        <f t="shared" si="5"/>
        <v>#N/A</v>
      </c>
      <c r="I359" s="458"/>
      <c r="L359" s="487">
        <v>0.91046005008748154</v>
      </c>
      <c r="M359" s="485">
        <v>0.88807506260935198</v>
      </c>
      <c r="N359" s="489">
        <f>1-('Evento Cotiz'!I410/'Evento Cotiz'!L410)</f>
        <v>0.19563258565696073</v>
      </c>
      <c r="O359" s="511">
        <f>+'Evento Cotiz'!L410-'Evento Cotiz'!I410</f>
        <v>35322.577350560023</v>
      </c>
      <c r="P359" s="496"/>
    </row>
    <row r="360" spans="1:16" ht="48">
      <c r="A360" s="112"/>
      <c r="B360" s="112"/>
      <c r="F360" s="67">
        <v>359</v>
      </c>
      <c r="G360" s="74" t="s">
        <v>335</v>
      </c>
      <c r="H360" s="457" t="e">
        <f t="shared" si="5"/>
        <v>#N/A</v>
      </c>
      <c r="I360" s="458"/>
      <c r="L360" s="487">
        <v>0.97406758225910228</v>
      </c>
      <c r="M360" s="485">
        <v>0.96758447782387791</v>
      </c>
      <c r="N360" s="489">
        <v>0</v>
      </c>
      <c r="O360" s="511">
        <f>+'Evento Cotiz'!L411-'Evento Cotiz'!I411</f>
        <v>-28853.198399999994</v>
      </c>
      <c r="P360" s="496"/>
    </row>
    <row r="361" spans="1:16" ht="60">
      <c r="A361" s="112"/>
      <c r="B361" s="112"/>
      <c r="F361" s="67">
        <v>360</v>
      </c>
      <c r="G361" s="74" t="s">
        <v>336</v>
      </c>
      <c r="H361" s="457" t="e">
        <f t="shared" si="5"/>
        <v>#N/A</v>
      </c>
      <c r="I361" s="458"/>
      <c r="L361" s="487">
        <v>0.96500087265111412</v>
      </c>
      <c r="M361" s="485">
        <v>0.95625109081389259</v>
      </c>
      <c r="N361" s="489">
        <f>1-('Evento Cotiz'!I412/'Evento Cotiz'!L412)</f>
        <v>0.26273852909885231</v>
      </c>
      <c r="O361" s="511">
        <f>+'Evento Cotiz'!L412-'Evento Cotiz'!I412</f>
        <v>38052.388800000001</v>
      </c>
      <c r="P361" s="496"/>
    </row>
    <row r="362" spans="1:16" ht="24">
      <c r="A362" s="112"/>
      <c r="B362" s="112"/>
      <c r="F362" s="67">
        <v>361</v>
      </c>
      <c r="G362" s="74" t="s">
        <v>337</v>
      </c>
      <c r="H362" s="457" t="e">
        <f t="shared" si="5"/>
        <v>#N/A</v>
      </c>
      <c r="I362" s="458"/>
      <c r="L362" s="487">
        <v>0.98567369683992334</v>
      </c>
      <c r="M362" s="485">
        <v>0.98209212104990418</v>
      </c>
      <c r="N362" s="489">
        <f>1-('Evento Cotiz'!I413/'Evento Cotiz'!L413)</f>
        <v>0.68434808800334235</v>
      </c>
      <c r="O362" s="511">
        <f>+'Evento Cotiz'!L413-'Evento Cotiz'!I413</f>
        <v>2309086.4000000004</v>
      </c>
      <c r="P362" s="496"/>
    </row>
    <row r="363" spans="1:16" ht="48">
      <c r="A363" s="112"/>
      <c r="B363" s="112"/>
      <c r="F363" s="67">
        <v>362</v>
      </c>
      <c r="G363" s="74" t="s">
        <v>338</v>
      </c>
      <c r="H363" s="457" t="e">
        <f t="shared" si="5"/>
        <v>#N/A</v>
      </c>
      <c r="I363" s="458"/>
      <c r="L363" s="487">
        <v>0.98264893241327311</v>
      </c>
      <c r="M363" s="485">
        <v>0.97831116551659147</v>
      </c>
      <c r="N363" s="489">
        <f>1-('Evento Cotiz'!I414/'Evento Cotiz'!L414)</f>
        <v>0.61366401011251037</v>
      </c>
      <c r="O363" s="511">
        <f>+'Evento Cotiz'!L414-'Evento Cotiz'!I414</f>
        <v>1239296.3968</v>
      </c>
      <c r="P363" s="496"/>
    </row>
    <row r="364" spans="1:16" ht="24">
      <c r="A364" s="112"/>
      <c r="B364" s="112"/>
      <c r="F364" s="67">
        <v>363</v>
      </c>
      <c r="G364" s="74" t="s">
        <v>339</v>
      </c>
      <c r="H364" s="457" t="e">
        <f t="shared" si="5"/>
        <v>#N/A</v>
      </c>
      <c r="I364" s="458"/>
      <c r="L364" s="487">
        <v>0.78374208440266657</v>
      </c>
      <c r="M364" s="485">
        <v>0.72967760550333327</v>
      </c>
      <c r="N364" s="489">
        <f>1-('Evento Cotiz'!I415/'Evento Cotiz'!L415)</f>
        <v>0.7481711864675733</v>
      </c>
      <c r="O364" s="511">
        <f>+'Evento Cotiz'!L415-'Evento Cotiz'!I415</f>
        <v>51524.427199999991</v>
      </c>
      <c r="P364" s="496"/>
    </row>
    <row r="365" spans="1:16" ht="24">
      <c r="A365" s="112"/>
      <c r="B365" s="112"/>
      <c r="F365" s="67">
        <v>364</v>
      </c>
      <c r="G365" s="74" t="s">
        <v>339</v>
      </c>
      <c r="H365" s="457" t="e">
        <f t="shared" si="5"/>
        <v>#N/A</v>
      </c>
      <c r="I365" s="458"/>
      <c r="L365" s="487">
        <v>0.98885336184541639</v>
      </c>
      <c r="M365" s="485">
        <v>0.98606670230677052</v>
      </c>
      <c r="N365" s="489">
        <f>1-('Evento Cotiz'!I416/'Evento Cotiz'!L416)</f>
        <v>0.53577997010852119</v>
      </c>
      <c r="O365" s="511">
        <f>+'Evento Cotiz'!L416-'Evento Cotiz'!I416</f>
        <v>720429.49280000001</v>
      </c>
      <c r="P365" s="496"/>
    </row>
    <row r="366" spans="1:16" ht="24">
      <c r="A366" s="112"/>
      <c r="B366" s="112"/>
      <c r="F366" s="67">
        <v>365</v>
      </c>
      <c r="G366" s="74" t="s">
        <v>340</v>
      </c>
      <c r="H366" s="457" t="e">
        <f t="shared" si="5"/>
        <v>#N/A</v>
      </c>
      <c r="I366" s="458"/>
      <c r="L366" s="487">
        <v>0.75109967109967113</v>
      </c>
      <c r="M366" s="485">
        <v>0.68887458887458886</v>
      </c>
      <c r="N366" s="489">
        <f>1-('Evento Cotiz'!I417/'Evento Cotiz'!L417)</f>
        <v>0.70841889117043122</v>
      </c>
      <c r="O366" s="511">
        <f>+'Evento Cotiz'!L417-'Evento Cotiz'!I417</f>
        <v>50897.16</v>
      </c>
      <c r="P366" s="496"/>
    </row>
    <row r="367" spans="1:16" ht="24">
      <c r="A367" s="112"/>
      <c r="B367" s="112"/>
      <c r="F367" s="67">
        <v>366</v>
      </c>
      <c r="G367" s="74" t="s">
        <v>340</v>
      </c>
      <c r="H367" s="457" t="e">
        <f t="shared" si="5"/>
        <v>#N/A</v>
      </c>
      <c r="I367" s="458"/>
      <c r="L367" s="487">
        <v>0.98771446882878911</v>
      </c>
      <c r="M367" s="485">
        <v>0.98464308603598649</v>
      </c>
      <c r="N367" s="489">
        <f>1-('Evento Cotiz'!I418/'Evento Cotiz'!L418)</f>
        <v>0.49081294347300697</v>
      </c>
      <c r="O367" s="511">
        <f>+'Evento Cotiz'!L418-'Evento Cotiz'!I418</f>
        <v>727033.28320000006</v>
      </c>
      <c r="P367" s="496"/>
    </row>
    <row r="368" spans="1:16" ht="24">
      <c r="A368" s="112"/>
      <c r="B368" s="112"/>
      <c r="F368" s="67">
        <v>367</v>
      </c>
      <c r="G368" s="74" t="s">
        <v>341</v>
      </c>
      <c r="H368" s="457">
        <f t="shared" si="5"/>
        <v>0.78602602275971778</v>
      </c>
      <c r="I368" s="458">
        <v>0.78602602275971778</v>
      </c>
      <c r="L368" s="487">
        <v>0.73025756926314145</v>
      </c>
      <c r="M368" s="485">
        <v>0.66282196157892681</v>
      </c>
      <c r="N368" s="489">
        <f>1-('Evento Cotiz'!I419/'Evento Cotiz'!L419)</f>
        <v>0.6943617353944882</v>
      </c>
      <c r="O368" s="511">
        <f>+'Evento Cotiz'!L419-'Evento Cotiz'!I419</f>
        <v>55810.388800000001</v>
      </c>
      <c r="P368" s="496"/>
    </row>
    <row r="369" spans="1:16" ht="24">
      <c r="A369" s="112"/>
      <c r="B369" s="112"/>
      <c r="F369" s="67">
        <v>368</v>
      </c>
      <c r="G369" s="74" t="s">
        <v>341</v>
      </c>
      <c r="H369" s="457" t="e">
        <f t="shared" si="5"/>
        <v>#N/A</v>
      </c>
      <c r="I369" s="458"/>
      <c r="L369" s="487">
        <v>0.98616292592392141</v>
      </c>
      <c r="M369" s="485">
        <v>0.98270365740490184</v>
      </c>
      <c r="N369" s="489">
        <f>1-('Evento Cotiz'!I420/'Evento Cotiz'!L420)</f>
        <v>0.43994535106885857</v>
      </c>
      <c r="O369" s="511">
        <f>+'Evento Cotiz'!L420-'Evento Cotiz'!I420</f>
        <v>694648.15519999992</v>
      </c>
      <c r="P369" s="496"/>
    </row>
    <row r="370" spans="1:16" ht="36">
      <c r="A370" s="112"/>
      <c r="B370" s="112"/>
      <c r="F370" s="67">
        <v>369</v>
      </c>
      <c r="G370" s="74" t="s">
        <v>342</v>
      </c>
      <c r="H370" s="457" t="e">
        <f t="shared" si="5"/>
        <v>#N/A</v>
      </c>
      <c r="I370" s="458"/>
      <c r="L370" s="487">
        <v>0.97080462715505667</v>
      </c>
      <c r="M370" s="485">
        <v>0.96350578394382091</v>
      </c>
      <c r="N370" s="489">
        <f>1-('Evento Cotiz'!I421/'Evento Cotiz'!L421)</f>
        <v>0.34542734243501028</v>
      </c>
      <c r="O370" s="511">
        <f>+'Evento Cotiz'!L421-'Evento Cotiz'!I421</f>
        <v>1372513.088</v>
      </c>
      <c r="P370" s="496"/>
    </row>
    <row r="371" spans="1:16" ht="24">
      <c r="A371" s="112"/>
      <c r="B371" s="112"/>
      <c r="F371" s="67">
        <v>370</v>
      </c>
      <c r="G371" s="74" t="s">
        <v>343</v>
      </c>
      <c r="H371" s="457" t="e">
        <f t="shared" si="5"/>
        <v>#N/A</v>
      </c>
      <c r="I371" s="458"/>
      <c r="L371" s="487">
        <v>0.7991404823730851</v>
      </c>
      <c r="M371" s="485">
        <v>0.74892560296635635</v>
      </c>
      <c r="N371" s="489">
        <f>1-('Evento Cotiz'!I422/'Evento Cotiz'!L422)</f>
        <v>0.86023244668104482</v>
      </c>
      <c r="O371" s="511">
        <f>+'Evento Cotiz'!L422-'Evento Cotiz'!I422</f>
        <v>78457.576000000001</v>
      </c>
      <c r="P371" s="496"/>
    </row>
    <row r="372" spans="1:16" ht="24">
      <c r="A372" s="112"/>
      <c r="B372" s="112"/>
      <c r="F372" s="67">
        <v>371</v>
      </c>
      <c r="G372" s="74" t="s">
        <v>343</v>
      </c>
      <c r="H372" s="457">
        <f t="shared" si="5"/>
        <v>0.99342216899114222</v>
      </c>
      <c r="I372" s="458">
        <v>0.99342216899114222</v>
      </c>
      <c r="L372" s="487">
        <v>0.99208839642385049</v>
      </c>
      <c r="M372" s="485">
        <v>0.99011049552981312</v>
      </c>
      <c r="N372" s="489">
        <f>1-('Evento Cotiz'!I423/'Evento Cotiz'!L423)</f>
        <v>0.84145210090125744</v>
      </c>
      <c r="O372" s="511">
        <f>+'Evento Cotiz'!L423-'Evento Cotiz'!I423</f>
        <v>2435316.8207999999</v>
      </c>
      <c r="P372" s="496"/>
    </row>
    <row r="373" spans="1:16" ht="48">
      <c r="A373" s="112"/>
      <c r="B373" s="112"/>
      <c r="F373" s="67">
        <v>372</v>
      </c>
      <c r="G373" s="74" t="s">
        <v>344</v>
      </c>
      <c r="H373" s="457" t="e">
        <f t="shared" si="5"/>
        <v>#N/A</v>
      </c>
      <c r="I373" s="458"/>
      <c r="L373" s="487">
        <v>0.81081465733086167</v>
      </c>
      <c r="M373" s="485">
        <v>0.76351832166357725</v>
      </c>
      <c r="N373" s="489">
        <f>1-('Evento Cotiz'!I424/'Evento Cotiz'!L424)</f>
        <v>0.33657758715495434</v>
      </c>
      <c r="O373" s="511">
        <f>+'Evento Cotiz'!L424-'Evento Cotiz'!I424</f>
        <v>40134.1728</v>
      </c>
      <c r="P373" s="496"/>
    </row>
    <row r="374" spans="1:16" ht="48">
      <c r="A374" s="112"/>
      <c r="B374" s="112"/>
      <c r="F374" s="67">
        <v>373</v>
      </c>
      <c r="G374" s="74" t="s">
        <v>344</v>
      </c>
      <c r="H374" s="457" t="e">
        <f t="shared" si="5"/>
        <v>#N/A</v>
      </c>
      <c r="I374" s="458"/>
      <c r="L374" s="487">
        <v>0.98010389012487309</v>
      </c>
      <c r="M374" s="485">
        <v>0.97512986265609136</v>
      </c>
      <c r="N374" s="489">
        <f>1-('Evento Cotiz'!I425/'Evento Cotiz'!L425)</f>
        <v>0.30634702717492845</v>
      </c>
      <c r="O374" s="511">
        <f>+'Evento Cotiz'!L425-'Evento Cotiz'!I425</f>
        <v>1257775.6447999999</v>
      </c>
      <c r="P374" s="496"/>
    </row>
    <row r="375" spans="1:16">
      <c r="A375" s="112"/>
      <c r="B375" s="112"/>
      <c r="F375" s="67">
        <v>374</v>
      </c>
      <c r="G375" s="74" t="s">
        <v>345</v>
      </c>
      <c r="H375" s="457" t="e">
        <f t="shared" si="5"/>
        <v>#N/A</v>
      </c>
      <c r="I375" s="458"/>
      <c r="L375" s="487">
        <v>0.85739292557874569</v>
      </c>
      <c r="M375" s="485">
        <v>0.82174115697343209</v>
      </c>
      <c r="N375" s="489">
        <f>1-('Evento Cotiz'!I426/'Evento Cotiz'!L426)</f>
        <v>0.74490627546862265</v>
      </c>
      <c r="O375" s="511">
        <f>+'Evento Cotiz'!L426-'Evento Cotiz'!I426</f>
        <v>14982.288</v>
      </c>
      <c r="P375" s="496"/>
    </row>
    <row r="376" spans="1:16">
      <c r="A376" s="112"/>
      <c r="B376" s="112"/>
      <c r="F376" s="67">
        <v>375</v>
      </c>
      <c r="G376" s="74" t="s">
        <v>345</v>
      </c>
      <c r="H376" s="457" t="e">
        <f t="shared" si="5"/>
        <v>#N/A</v>
      </c>
      <c r="I376" s="458"/>
      <c r="L376" s="487">
        <v>0.9854270656791958</v>
      </c>
      <c r="M376" s="485">
        <v>0.98178383209899478</v>
      </c>
      <c r="N376" s="489">
        <f>1-('Evento Cotiz'!I427/'Evento Cotiz'!L427)</f>
        <v>0.48457193055233583</v>
      </c>
      <c r="O376" s="511">
        <f>+'Evento Cotiz'!L427-'Evento Cotiz'!I427</f>
        <v>173606.57920000001</v>
      </c>
      <c r="P376" s="496"/>
    </row>
    <row r="377" spans="1:16">
      <c r="A377" s="112"/>
      <c r="B377" s="112"/>
      <c r="F377" s="67">
        <v>376</v>
      </c>
      <c r="G377" s="74" t="s">
        <v>346</v>
      </c>
      <c r="H377" s="457" t="e">
        <f t="shared" si="5"/>
        <v>#N/A</v>
      </c>
      <c r="I377" s="458"/>
      <c r="L377" s="487">
        <v>0.82654628094097415</v>
      </c>
      <c r="M377" s="485">
        <v>0.78318285117621766</v>
      </c>
      <c r="N377" s="489">
        <f>1-('Evento Cotiz'!I428/'Evento Cotiz'!L428)</f>
        <v>0.82218566095045242</v>
      </c>
      <c r="O377" s="511">
        <f>+'Evento Cotiz'!L428-'Evento Cotiz'!I428</f>
        <v>14198.750400000001</v>
      </c>
      <c r="P377" s="496"/>
    </row>
    <row r="378" spans="1:16">
      <c r="A378" s="112"/>
      <c r="B378" s="112"/>
      <c r="F378" s="67">
        <v>377</v>
      </c>
      <c r="G378" s="74" t="s">
        <v>346</v>
      </c>
      <c r="H378" s="457" t="e">
        <f t="shared" si="5"/>
        <v>#N/A</v>
      </c>
      <c r="I378" s="458"/>
      <c r="L378" s="487">
        <v>0.97775035398345045</v>
      </c>
      <c r="M378" s="485">
        <v>0.97218794247931306</v>
      </c>
      <c r="N378" s="489">
        <f>1-('Evento Cotiz'!I429/'Evento Cotiz'!L429)</f>
        <v>0.54146739499988672</v>
      </c>
      <c r="O378" s="511">
        <f>+'Evento Cotiz'!L429-'Evento Cotiz'!I429</f>
        <v>130529.49600000001</v>
      </c>
      <c r="P378" s="496"/>
    </row>
    <row r="379" spans="1:16" ht="36">
      <c r="A379" s="112"/>
      <c r="B379" s="112"/>
      <c r="F379" s="67">
        <v>378</v>
      </c>
      <c r="G379" s="74" t="s">
        <v>347</v>
      </c>
      <c r="H379" s="457" t="e">
        <f t="shared" si="5"/>
        <v>#N/A</v>
      </c>
      <c r="I379" s="458"/>
      <c r="L379" s="487">
        <v>0.98886603712968479</v>
      </c>
      <c r="M379" s="485">
        <v>0.98608254641210602</v>
      </c>
      <c r="N379" s="489">
        <f>1-('Evento Cotiz'!I430/'Evento Cotiz'!L430)</f>
        <v>0.73939608505972909</v>
      </c>
      <c r="O379" s="511">
        <f>+'Evento Cotiz'!L430-'Evento Cotiz'!I430</f>
        <v>566009.20319999999</v>
      </c>
      <c r="P379" s="496"/>
    </row>
    <row r="380" spans="1:16" ht="36">
      <c r="A380" s="112"/>
      <c r="B380" s="112"/>
      <c r="F380" s="67">
        <v>379</v>
      </c>
      <c r="G380" s="74" t="s">
        <v>348</v>
      </c>
      <c r="H380" s="457" t="e">
        <f t="shared" si="5"/>
        <v>#N/A</v>
      </c>
      <c r="I380" s="458"/>
      <c r="L380" s="487">
        <v>0.98682101222350416</v>
      </c>
      <c r="M380" s="485">
        <v>0.98352626527938014</v>
      </c>
      <c r="N380" s="489">
        <f>1-('Evento Cotiz'!I431/'Evento Cotiz'!L431)</f>
        <v>0.73527651977642972</v>
      </c>
      <c r="O380" s="511">
        <f>+'Evento Cotiz'!L431-'Evento Cotiz'!I431</f>
        <v>660719.99359999993</v>
      </c>
      <c r="P380" s="496"/>
    </row>
    <row r="381" spans="1:16" ht="24">
      <c r="A381" s="112"/>
      <c r="B381" s="112"/>
      <c r="F381" s="67">
        <v>380</v>
      </c>
      <c r="G381" s="74" t="s">
        <v>349</v>
      </c>
      <c r="H381" s="457" t="e">
        <f t="shared" si="5"/>
        <v>#N/A</v>
      </c>
      <c r="I381" s="458"/>
      <c r="L381" s="487">
        <v>0.86599053129931614</v>
      </c>
      <c r="M381" s="485">
        <v>0.83248816412414517</v>
      </c>
      <c r="N381" s="489">
        <f>1-('Evento Cotiz'!I432/'Evento Cotiz'!L432)</f>
        <v>0.74803613948416681</v>
      </c>
      <c r="O381" s="511">
        <f>+'Evento Cotiz'!L432-'Evento Cotiz'!I432</f>
        <v>73467.851200000005</v>
      </c>
      <c r="P381" s="496"/>
    </row>
    <row r="382" spans="1:16" ht="24">
      <c r="A382" s="112"/>
      <c r="B382" s="112"/>
      <c r="F382" s="67">
        <v>381</v>
      </c>
      <c r="G382" s="74" t="s">
        <v>349</v>
      </c>
      <c r="H382" s="457" t="e">
        <f t="shared" si="5"/>
        <v>#N/A</v>
      </c>
      <c r="I382" s="458"/>
      <c r="L382" s="487">
        <v>0.98525867744277185</v>
      </c>
      <c r="M382" s="485">
        <v>0.98157334680346475</v>
      </c>
      <c r="N382" s="489">
        <f>1-('Evento Cotiz'!I433/'Evento Cotiz'!L433)</f>
        <v>0.61315744015246854</v>
      </c>
      <c r="O382" s="511">
        <f>+'Evento Cotiz'!L433-'Evento Cotiz'!I433</f>
        <v>1411939.1264</v>
      </c>
      <c r="P382" s="496"/>
    </row>
    <row r="383" spans="1:16" ht="24">
      <c r="A383" s="112"/>
      <c r="B383" s="112"/>
      <c r="F383" s="67">
        <v>382</v>
      </c>
      <c r="G383" s="74" t="s">
        <v>350</v>
      </c>
      <c r="H383" s="457" t="e">
        <f t="shared" si="5"/>
        <v>#N/A</v>
      </c>
      <c r="I383" s="458"/>
      <c r="L383" s="487">
        <v>0.87993314413272461</v>
      </c>
      <c r="M383" s="485">
        <v>0.84991643016590579</v>
      </c>
      <c r="N383" s="489">
        <f>1-('Evento Cotiz'!I434/'Evento Cotiz'!L434)</f>
        <v>0.84217549894724353</v>
      </c>
      <c r="O383" s="511">
        <f>+'Evento Cotiz'!L434-'Evento Cotiz'!I434</f>
        <v>155172.136</v>
      </c>
      <c r="P383" s="496"/>
    </row>
    <row r="384" spans="1:16" ht="24">
      <c r="A384" s="112"/>
      <c r="B384" s="112"/>
      <c r="F384" s="67">
        <v>383</v>
      </c>
      <c r="G384" s="74" t="s">
        <v>350</v>
      </c>
      <c r="H384" s="457" t="e">
        <f t="shared" si="5"/>
        <v>#N/A</v>
      </c>
      <c r="I384" s="458"/>
      <c r="L384" s="487">
        <v>0.9837749292951008</v>
      </c>
      <c r="M384" s="485">
        <v>0.979718661618876</v>
      </c>
      <c r="N384" s="489">
        <f>1-('Evento Cotiz'!I435/'Evento Cotiz'!L435)</f>
        <v>0.74254268760224584</v>
      </c>
      <c r="O384" s="511">
        <f>+'Evento Cotiz'!L435-'Evento Cotiz'!I435</f>
        <v>3019254.5007999996</v>
      </c>
      <c r="P384" s="496"/>
    </row>
    <row r="385" spans="1:16" ht="36">
      <c r="A385" s="112"/>
      <c r="B385" s="112"/>
      <c r="F385" s="67">
        <v>384</v>
      </c>
      <c r="G385" s="74" t="s">
        <v>351</v>
      </c>
      <c r="H385" s="457" t="e">
        <f t="shared" si="5"/>
        <v>#N/A</v>
      </c>
      <c r="I385" s="458"/>
      <c r="L385" s="487">
        <v>0.76773530620632968</v>
      </c>
      <c r="M385" s="485">
        <v>0.7096691327579121</v>
      </c>
      <c r="N385" s="489">
        <f>1-('Evento Cotiz'!I436/'Evento Cotiz'!L436)</f>
        <v>0.70095334685598387</v>
      </c>
      <c r="O385" s="511">
        <f>+'Evento Cotiz'!L436-'Evento Cotiz'!I436</f>
        <v>188819.44800000003</v>
      </c>
      <c r="P385" s="496"/>
    </row>
    <row r="386" spans="1:16" ht="36">
      <c r="A386" s="112"/>
      <c r="B386" s="112"/>
      <c r="F386" s="67">
        <v>385</v>
      </c>
      <c r="G386" s="74" t="s">
        <v>351</v>
      </c>
      <c r="H386" s="457" t="e">
        <f t="shared" si="5"/>
        <v>#N/A</v>
      </c>
      <c r="I386" s="458"/>
      <c r="L386" s="487">
        <v>0.98452222386981991</v>
      </c>
      <c r="M386" s="485">
        <v>0.98065277983727484</v>
      </c>
      <c r="N386" s="489">
        <f>1-('Evento Cotiz'!I437/'Evento Cotiz'!L437)</f>
        <v>0.49066823283737937</v>
      </c>
      <c r="O386" s="511">
        <f>+'Evento Cotiz'!L437-'Evento Cotiz'!I437</f>
        <v>2793699.4880000004</v>
      </c>
      <c r="P386" s="496"/>
    </row>
    <row r="387" spans="1:16" ht="36">
      <c r="A387" s="112"/>
      <c r="B387" s="112"/>
      <c r="F387" s="67">
        <v>386</v>
      </c>
      <c r="G387" s="74" t="s">
        <v>352</v>
      </c>
      <c r="H387" s="457" t="e">
        <f t="shared" ref="H387:H408" si="6">VLOOKUP(F387,$A$2:$B$431,2,0)</f>
        <v>#N/A</v>
      </c>
      <c r="I387" s="458"/>
      <c r="L387" s="487">
        <v>0.77381354089337806</v>
      </c>
      <c r="M387" s="485">
        <v>0.7172669261167226</v>
      </c>
      <c r="N387" s="489">
        <f>1-('Evento Cotiz'!I438/'Evento Cotiz'!L438)</f>
        <v>0.6191683134289887</v>
      </c>
      <c r="O387" s="511">
        <f>+'Evento Cotiz'!L438-'Evento Cotiz'!I438</f>
        <v>173255.7904</v>
      </c>
      <c r="P387" s="496"/>
    </row>
    <row r="388" spans="1:16" ht="36">
      <c r="A388" s="112"/>
      <c r="B388" s="112"/>
      <c r="F388" s="67">
        <v>387</v>
      </c>
      <c r="G388" s="74" t="s">
        <v>352</v>
      </c>
      <c r="H388" s="457" t="e">
        <f t="shared" si="6"/>
        <v>#N/A</v>
      </c>
      <c r="I388" s="458"/>
      <c r="L388" s="487">
        <v>0.98439474296691853</v>
      </c>
      <c r="M388" s="485">
        <v>0.9804934287086482</v>
      </c>
      <c r="N388" s="489">
        <f>1-('Evento Cotiz'!I439/'Evento Cotiz'!L439)</f>
        <v>0.37164432473378339</v>
      </c>
      <c r="O388" s="511">
        <f>+'Evento Cotiz'!L439-'Evento Cotiz'!I439</f>
        <v>2268985.0112000001</v>
      </c>
      <c r="P388" s="496"/>
    </row>
    <row r="389" spans="1:16" ht="36">
      <c r="A389" s="112"/>
      <c r="B389" s="112"/>
      <c r="F389" s="67">
        <v>388</v>
      </c>
      <c r="G389" s="74" t="s">
        <v>353</v>
      </c>
      <c r="H389" s="457" t="e">
        <f t="shared" si="6"/>
        <v>#N/A</v>
      </c>
      <c r="I389" s="458"/>
      <c r="L389" s="487">
        <v>0.62181359059859498</v>
      </c>
      <c r="M389" s="485">
        <v>0.5272669882482437</v>
      </c>
      <c r="N389" s="489">
        <f>1-('Evento Cotiz'!I440/'Evento Cotiz'!L440)</f>
        <v>0.35026535571048001</v>
      </c>
      <c r="O389" s="511">
        <f>+'Evento Cotiz'!L440-'Evento Cotiz'!I440</f>
        <v>91525.27840000001</v>
      </c>
      <c r="P389" s="496"/>
    </row>
    <row r="390" spans="1:16" ht="36">
      <c r="A390" s="112"/>
      <c r="B390" s="112"/>
      <c r="F390" s="67">
        <v>389</v>
      </c>
      <c r="G390" s="74" t="s">
        <v>353</v>
      </c>
      <c r="H390" s="457" t="e">
        <f t="shared" si="6"/>
        <v>#N/A</v>
      </c>
      <c r="I390" s="458"/>
      <c r="L390" s="487">
        <v>0.98591417724934416</v>
      </c>
      <c r="M390" s="485">
        <v>0.98239272156168012</v>
      </c>
      <c r="N390" s="489">
        <f>1-('Evento Cotiz'!I441/'Evento Cotiz'!L441)</f>
        <v>0.21677691025282853</v>
      </c>
      <c r="O390" s="511">
        <f>+'Evento Cotiz'!L441-'Evento Cotiz'!I441</f>
        <v>1691659.8640000001</v>
      </c>
      <c r="P390" s="496"/>
    </row>
    <row r="391" spans="1:16" ht="60">
      <c r="A391" s="112"/>
      <c r="B391" s="112"/>
      <c r="F391" s="67">
        <v>390</v>
      </c>
      <c r="G391" s="74" t="s">
        <v>354</v>
      </c>
      <c r="H391" s="457" t="e">
        <f t="shared" si="6"/>
        <v>#N/A</v>
      </c>
      <c r="I391" s="458"/>
      <c r="L391" s="487">
        <v>0.74484170554306295</v>
      </c>
      <c r="M391" s="485">
        <v>0.68105213192882863</v>
      </c>
      <c r="N391" s="489">
        <f>1-('Evento Cotiz'!I442/'Evento Cotiz'!L442)</f>
        <v>0.60042960281628521</v>
      </c>
      <c r="O391" s="511">
        <f>+'Evento Cotiz'!L442-'Evento Cotiz'!I442</f>
        <v>131962.1568</v>
      </c>
      <c r="P391" s="496"/>
    </row>
    <row r="392" spans="1:16" ht="60">
      <c r="A392" s="112"/>
      <c r="B392" s="112"/>
      <c r="F392" s="67">
        <v>391</v>
      </c>
      <c r="G392" s="74" t="s">
        <v>354</v>
      </c>
      <c r="H392" s="457" t="e">
        <f t="shared" si="6"/>
        <v>#N/A</v>
      </c>
      <c r="I392" s="458"/>
      <c r="L392" s="487">
        <v>0.9839011938736415</v>
      </c>
      <c r="M392" s="485">
        <v>0.97987649234205199</v>
      </c>
      <c r="N392" s="489">
        <f>1-('Evento Cotiz'!I443/'Evento Cotiz'!L443)</f>
        <v>0.45579595423913999</v>
      </c>
      <c r="O392" s="511">
        <f>+'Evento Cotiz'!L443-'Evento Cotiz'!I443</f>
        <v>2647858.7712000003</v>
      </c>
      <c r="P392" s="496"/>
    </row>
    <row r="393" spans="1:16" ht="60">
      <c r="A393" s="112"/>
      <c r="B393" s="112"/>
      <c r="F393" s="67">
        <v>392</v>
      </c>
      <c r="G393" s="74" t="s">
        <v>355</v>
      </c>
      <c r="H393" s="457" t="e">
        <f t="shared" si="6"/>
        <v>#N/A</v>
      </c>
      <c r="I393" s="458"/>
      <c r="L393" s="487">
        <v>0.8626049875512366</v>
      </c>
      <c r="M393" s="485">
        <v>0.82825623443904572</v>
      </c>
      <c r="N393" s="489">
        <f>1-('Evento Cotiz'!I444/'Evento Cotiz'!L444)</f>
        <v>0.75161025963748906</v>
      </c>
      <c r="O393" s="511">
        <f>+'Evento Cotiz'!L444-'Evento Cotiz'!I444</f>
        <v>349786.70240000001</v>
      </c>
      <c r="P393" s="496"/>
    </row>
    <row r="394" spans="1:16" ht="60">
      <c r="A394" s="112"/>
      <c r="B394" s="112"/>
      <c r="F394" s="67">
        <v>393</v>
      </c>
      <c r="G394" s="74" t="s">
        <v>355</v>
      </c>
      <c r="H394" s="457" t="e">
        <f t="shared" si="6"/>
        <v>#N/A</v>
      </c>
      <c r="I394" s="458"/>
      <c r="L394" s="487">
        <v>0.98977356619000534</v>
      </c>
      <c r="M394" s="485">
        <v>0.98721695773750662</v>
      </c>
      <c r="N394" s="489">
        <f>1-('Evento Cotiz'!I445/'Evento Cotiz'!L445)</f>
        <v>0.54279188229868591</v>
      </c>
      <c r="O394" s="511">
        <f>+'Evento Cotiz'!L445-'Evento Cotiz'!I445</f>
        <v>4940342.2608000003</v>
      </c>
      <c r="P394" s="496"/>
    </row>
    <row r="395" spans="1:16" ht="36">
      <c r="A395" s="112"/>
      <c r="B395" s="112"/>
      <c r="F395" s="67">
        <v>394</v>
      </c>
      <c r="G395" s="74" t="s">
        <v>356</v>
      </c>
      <c r="H395" s="457" t="e">
        <f t="shared" si="6"/>
        <v>#N/A</v>
      </c>
      <c r="I395" s="458"/>
      <c r="L395" s="487">
        <v>0.84067266631213522</v>
      </c>
      <c r="M395" s="485">
        <v>0.80084083289016905</v>
      </c>
      <c r="N395" s="489">
        <f>1-('Evento Cotiz'!I446/'Evento Cotiz'!L446)</f>
        <v>0.89544940121233707</v>
      </c>
      <c r="O395" s="511">
        <f>+'Evento Cotiz'!L446-'Evento Cotiz'!I446</f>
        <v>417623.35520000005</v>
      </c>
      <c r="P395" s="496"/>
    </row>
    <row r="396" spans="1:16" ht="36">
      <c r="A396" s="112"/>
      <c r="B396" s="112"/>
      <c r="F396" s="67">
        <v>395</v>
      </c>
      <c r="G396" s="74" t="s">
        <v>356</v>
      </c>
      <c r="H396" s="457" t="e">
        <f t="shared" si="6"/>
        <v>#N/A</v>
      </c>
      <c r="I396" s="458"/>
      <c r="L396" s="487">
        <v>0.98938775830401327</v>
      </c>
      <c r="M396" s="485">
        <v>0.98673469788001655</v>
      </c>
      <c r="N396" s="489">
        <f>1-('Evento Cotiz'!I447/'Evento Cotiz'!L447)</f>
        <v>0.82531430006861806</v>
      </c>
      <c r="O396" s="511">
        <f>+'Evento Cotiz'!L447-'Evento Cotiz'!I447</f>
        <v>8293750.96</v>
      </c>
      <c r="P396" s="496"/>
    </row>
    <row r="397" spans="1:16" ht="24">
      <c r="A397" s="112"/>
      <c r="B397" s="112"/>
      <c r="F397" s="67">
        <v>396</v>
      </c>
      <c r="G397" s="74" t="s">
        <v>357</v>
      </c>
      <c r="H397" s="457" t="e">
        <f t="shared" si="6"/>
        <v>#N/A</v>
      </c>
      <c r="I397" s="458"/>
      <c r="L397" s="487">
        <v>0.84529016102262466</v>
      </c>
      <c r="M397" s="485">
        <v>0.80661270127828089</v>
      </c>
      <c r="N397" s="489">
        <f>1-('Evento Cotiz'!I448/'Evento Cotiz'!L448)</f>
        <v>0.80969910701396186</v>
      </c>
      <c r="O397" s="511">
        <f>+'Evento Cotiz'!L448-'Evento Cotiz'!I448</f>
        <v>171619.8688</v>
      </c>
      <c r="P397" s="496"/>
    </row>
    <row r="398" spans="1:16" ht="24">
      <c r="A398" s="112"/>
      <c r="B398" s="112"/>
      <c r="F398" s="67">
        <v>397</v>
      </c>
      <c r="G398" s="74" t="s">
        <v>357</v>
      </c>
      <c r="H398" s="457" t="e">
        <f t="shared" si="6"/>
        <v>#N/A</v>
      </c>
      <c r="I398" s="458"/>
      <c r="L398" s="487">
        <v>0.98566814968721062</v>
      </c>
      <c r="M398" s="485">
        <v>0.98208518710901327</v>
      </c>
      <c r="N398" s="489">
        <f>1-('Evento Cotiz'!I449/'Evento Cotiz'!L449)</f>
        <v>0.66408681566030903</v>
      </c>
      <c r="O398" s="511">
        <f>+'Evento Cotiz'!L449-'Evento Cotiz'!I449</f>
        <v>2870768.1151999999</v>
      </c>
      <c r="P398" s="496"/>
    </row>
    <row r="399" spans="1:16" ht="24">
      <c r="A399" s="112"/>
      <c r="B399" s="112"/>
      <c r="F399" s="67">
        <v>398</v>
      </c>
      <c r="G399" s="74" t="s">
        <v>358</v>
      </c>
      <c r="H399" s="457" t="e">
        <f t="shared" si="6"/>
        <v>#N/A</v>
      </c>
      <c r="I399" s="458"/>
      <c r="L399" s="487">
        <v>0.88565782567079387</v>
      </c>
      <c r="M399" s="485">
        <v>0.85707228208849229</v>
      </c>
      <c r="N399" s="489">
        <f>1-('Evento Cotiz'!I450/'Evento Cotiz'!L450)</f>
        <v>0.97456549385332769</v>
      </c>
      <c r="O399" s="511">
        <f>+'Evento Cotiz'!L450-'Evento Cotiz'!I450</f>
        <v>32660.513599999998</v>
      </c>
      <c r="P399" s="496"/>
    </row>
    <row r="400" spans="1:16" ht="24">
      <c r="A400" s="112"/>
      <c r="B400" s="112"/>
      <c r="F400" s="67">
        <v>399</v>
      </c>
      <c r="G400" s="74" t="s">
        <v>358</v>
      </c>
      <c r="H400" s="457" t="e">
        <f t="shared" si="6"/>
        <v>#N/A</v>
      </c>
      <c r="I400" s="458"/>
      <c r="L400" s="487">
        <v>0.99804886983062058</v>
      </c>
      <c r="M400" s="485">
        <v>0.99756108728827575</v>
      </c>
      <c r="N400" s="489">
        <f>1-('Evento Cotiz'!I451/'Evento Cotiz'!L451)</f>
        <v>0.99552606787067288</v>
      </c>
      <c r="O400" s="511">
        <f>+'Evento Cotiz'!L451-'Evento Cotiz'!I451</f>
        <v>6784348.2800000003</v>
      </c>
      <c r="P400" s="496"/>
    </row>
    <row r="401" spans="1:16" ht="24">
      <c r="A401" s="112"/>
      <c r="B401" s="112"/>
      <c r="F401" s="67">
        <v>400</v>
      </c>
      <c r="G401" s="74" t="s">
        <v>359</v>
      </c>
      <c r="H401" s="457" t="e">
        <f t="shared" si="6"/>
        <v>#N/A</v>
      </c>
      <c r="I401" s="458"/>
      <c r="L401" s="487">
        <v>0.99748164031522435</v>
      </c>
      <c r="M401" s="485">
        <v>0.99685205039403046</v>
      </c>
      <c r="N401" s="489">
        <f>1-('Evento Cotiz'!I452/'Evento Cotiz'!L452)</f>
        <v>0.95761160537170231</v>
      </c>
      <c r="O401" s="511">
        <f>+'Evento Cotiz'!L452-'Evento Cotiz'!I452</f>
        <v>1503489.5392</v>
      </c>
      <c r="P401" s="496"/>
    </row>
    <row r="402" spans="1:16" ht="24">
      <c r="A402" s="112"/>
      <c r="B402" s="112"/>
      <c r="F402" s="67">
        <v>401</v>
      </c>
      <c r="G402" s="74" t="s">
        <v>360</v>
      </c>
      <c r="H402" s="457" t="e">
        <f t="shared" si="6"/>
        <v>#N/A</v>
      </c>
      <c r="I402" s="458"/>
      <c r="L402" s="487">
        <v>0.99092154191170356</v>
      </c>
      <c r="M402" s="485">
        <v>0.98865192738962937</v>
      </c>
      <c r="N402" s="489">
        <v>0</v>
      </c>
      <c r="O402" s="511">
        <f>+'Evento Cotiz'!L453-'Evento Cotiz'!I453</f>
        <v>-536664.24479999952</v>
      </c>
      <c r="P402" s="496"/>
    </row>
    <row r="403" spans="1:16" ht="24">
      <c r="A403" s="112"/>
      <c r="B403" s="112"/>
      <c r="F403" s="67">
        <v>402</v>
      </c>
      <c r="G403" s="74" t="s">
        <v>361</v>
      </c>
      <c r="H403" s="457" t="e">
        <f t="shared" si="6"/>
        <v>#N/A</v>
      </c>
      <c r="I403" s="458"/>
      <c r="L403" s="487">
        <v>0.85618069733659374</v>
      </c>
      <c r="M403" s="485">
        <v>0.82022587167074223</v>
      </c>
      <c r="N403" s="489">
        <f>1-('Evento Cotiz'!I454/'Evento Cotiz'!L454)</f>
        <v>0.71046863439153252</v>
      </c>
      <c r="O403" s="511">
        <f>+'Evento Cotiz'!L454-'Evento Cotiz'!I454</f>
        <v>223509.29119999998</v>
      </c>
      <c r="P403" s="496"/>
    </row>
    <row r="404" spans="1:16" ht="24">
      <c r="A404" s="112"/>
      <c r="B404" s="112"/>
      <c r="F404" s="67">
        <v>403</v>
      </c>
      <c r="G404" s="74" t="s">
        <v>361</v>
      </c>
      <c r="H404" s="457" t="e">
        <f t="shared" si="6"/>
        <v>#N/A</v>
      </c>
      <c r="I404" s="458"/>
      <c r="L404" s="487">
        <v>0.98400270344173923</v>
      </c>
      <c r="M404" s="485">
        <v>0.98000337930217407</v>
      </c>
      <c r="N404" s="489">
        <f>1-('Evento Cotiz'!I455/'Evento Cotiz'!L455)</f>
        <v>0.60256099099032268</v>
      </c>
      <c r="O404" s="511">
        <f>+'Evento Cotiz'!L455-'Evento Cotiz'!I455</f>
        <v>4970412.8383999998</v>
      </c>
      <c r="P404" s="496"/>
    </row>
    <row r="405" spans="1:16">
      <c r="A405" s="112"/>
      <c r="B405" s="112"/>
      <c r="F405" s="67">
        <v>404</v>
      </c>
      <c r="G405" s="74" t="s">
        <v>362</v>
      </c>
      <c r="H405" s="457">
        <f t="shared" si="6"/>
        <v>0.83176343201865965</v>
      </c>
      <c r="I405" s="458">
        <v>0.83176343201865965</v>
      </c>
      <c r="L405" s="487">
        <v>0.86004501032293557</v>
      </c>
      <c r="M405" s="485">
        <v>0.8250562629036694</v>
      </c>
      <c r="N405" s="489">
        <f>1-('Evento Cotiz'!I456/'Evento Cotiz'!L456)</f>
        <v>0.66071406764551432</v>
      </c>
      <c r="O405" s="511">
        <f>+'Evento Cotiz'!L456-'Evento Cotiz'!I456</f>
        <v>177375.64639999997</v>
      </c>
      <c r="P405" s="496"/>
    </row>
    <row r="406" spans="1:16">
      <c r="A406" s="112"/>
      <c r="B406" s="112"/>
      <c r="F406" s="67">
        <v>405</v>
      </c>
      <c r="G406" s="74" t="s">
        <v>362</v>
      </c>
      <c r="H406" s="457" t="e">
        <f t="shared" si="6"/>
        <v>#N/A</v>
      </c>
      <c r="I406" s="458"/>
      <c r="L406" s="487">
        <v>0.98404245386573941</v>
      </c>
      <c r="M406" s="485">
        <v>0.98005306733217423</v>
      </c>
      <c r="N406" s="489">
        <f>1-('Evento Cotiz'!I457/'Evento Cotiz'!L457)</f>
        <v>0.61050991392918252</v>
      </c>
      <c r="O406" s="511">
        <f>+'Evento Cotiz'!L457-'Evento Cotiz'!I457</f>
        <v>3083255.4255999997</v>
      </c>
      <c r="P406" s="496"/>
    </row>
    <row r="407" spans="1:16">
      <c r="A407" s="112"/>
      <c r="B407" s="112"/>
      <c r="F407" s="67">
        <v>406</v>
      </c>
      <c r="G407" s="74" t="s">
        <v>363</v>
      </c>
      <c r="H407" s="457" t="e">
        <f t="shared" si="6"/>
        <v>#N/A</v>
      </c>
      <c r="I407" s="458"/>
      <c r="L407" s="487">
        <v>0.82061686785814991</v>
      </c>
      <c r="M407" s="485">
        <v>0.77577108482268742</v>
      </c>
      <c r="N407" s="489">
        <f>1-('Evento Cotiz'!I458/'Evento Cotiz'!L458)</f>
        <v>0.62697003174425592</v>
      </c>
      <c r="O407" s="511">
        <f>+'Evento Cotiz'!L458-'Evento Cotiz'!I458</f>
        <v>97989.190399999992</v>
      </c>
      <c r="P407" s="496"/>
    </row>
    <row r="408" spans="1:16">
      <c r="F408" s="67">
        <v>407</v>
      </c>
      <c r="G408" s="74" t="s">
        <v>363</v>
      </c>
      <c r="H408" s="457" t="e">
        <f t="shared" si="6"/>
        <v>#N/A</v>
      </c>
      <c r="I408" s="458"/>
      <c r="L408" s="487">
        <v>0.97577826427920322</v>
      </c>
      <c r="M408" s="485">
        <v>0.96972283034900408</v>
      </c>
      <c r="N408" s="489">
        <f>1-('Evento Cotiz'!I459/'Evento Cotiz'!L459)</f>
        <v>0.25467863839103755</v>
      </c>
      <c r="O408" s="511">
        <f>+'Evento Cotiz'!L459-'Evento Cotiz'!I459</f>
        <v>716953.29600000009</v>
      </c>
      <c r="P408" s="496"/>
    </row>
  </sheetData>
  <autoFilter ref="A1:P1" xr:uid="{00000000-0001-0000-0900-000000000000}"/>
  <sortState xmlns:xlrd2="http://schemas.microsoft.com/office/spreadsheetml/2017/richdata2" ref="A2:B118">
    <sortCondition ref="A2:A118"/>
  </sortState>
  <conditionalFormatting sqref="O1:O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23"/>
  <sheetViews>
    <sheetView workbookViewId="0">
      <selection activeCell="E15" sqref="E15"/>
    </sheetView>
  </sheetViews>
  <sheetFormatPr baseColWidth="10" defaultColWidth="11.42578125" defaultRowHeight="13.5"/>
  <cols>
    <col min="1" max="1" width="6.7109375" style="50" customWidth="1"/>
    <col min="2" max="2" width="68.140625" style="50" customWidth="1"/>
    <col min="3" max="16384" width="11.42578125" style="50"/>
  </cols>
  <sheetData>
    <row r="1" spans="1:4">
      <c r="B1" s="215" t="s">
        <v>591</v>
      </c>
      <c r="C1" s="86" t="s">
        <v>601</v>
      </c>
    </row>
    <row r="2" spans="1:4">
      <c r="B2" s="55" t="s">
        <v>592</v>
      </c>
      <c r="C2" s="55"/>
    </row>
    <row r="3" spans="1:4">
      <c r="B3" s="55" t="s">
        <v>486</v>
      </c>
      <c r="C3" s="55"/>
    </row>
    <row r="4" spans="1:4">
      <c r="B4" s="55" t="s">
        <v>485</v>
      </c>
      <c r="C4" s="55"/>
    </row>
    <row r="5" spans="1:4">
      <c r="B5" s="55" t="s">
        <v>593</v>
      </c>
      <c r="C5" s="55"/>
    </row>
    <row r="6" spans="1:4">
      <c r="B6" s="55" t="s">
        <v>594</v>
      </c>
      <c r="C6" s="55"/>
    </row>
    <row r="7" spans="1:4">
      <c r="B7" s="55" t="s">
        <v>595</v>
      </c>
      <c r="C7" s="55"/>
    </row>
    <row r="8" spans="1:4">
      <c r="B8" s="55" t="s">
        <v>596</v>
      </c>
      <c r="C8" s="55"/>
    </row>
    <row r="9" spans="1:4">
      <c r="B9" s="55" t="s">
        <v>597</v>
      </c>
      <c r="C9" s="55"/>
    </row>
    <row r="10" spans="1:4">
      <c r="B10" s="55" t="s">
        <v>598</v>
      </c>
      <c r="C10" s="55"/>
    </row>
    <row r="11" spans="1:4">
      <c r="B11" s="55" t="s">
        <v>599</v>
      </c>
      <c r="C11" s="55"/>
    </row>
    <row r="12" spans="1:4">
      <c r="B12" s="55" t="s">
        <v>600</v>
      </c>
      <c r="C12" s="55"/>
    </row>
    <row r="16" spans="1:4" ht="26.25">
      <c r="A16" s="600" t="s">
        <v>20</v>
      </c>
      <c r="B16" s="600"/>
      <c r="C16" s="216" t="s">
        <v>364</v>
      </c>
      <c r="D16" s="217" t="s">
        <v>590</v>
      </c>
    </row>
    <row r="17" spans="1:4">
      <c r="A17" s="68">
        <v>1</v>
      </c>
      <c r="B17" s="75" t="s">
        <v>21</v>
      </c>
      <c r="C17" s="68" t="s">
        <v>365</v>
      </c>
      <c r="D17" s="55">
        <v>9248</v>
      </c>
    </row>
    <row r="18" spans="1:4">
      <c r="A18" s="68">
        <v>2</v>
      </c>
      <c r="B18" s="75" t="s">
        <v>22</v>
      </c>
      <c r="C18" s="68" t="s">
        <v>365</v>
      </c>
      <c r="D18" s="55">
        <v>2558</v>
      </c>
    </row>
    <row r="19" spans="1:4">
      <c r="A19" s="68">
        <v>3</v>
      </c>
      <c r="B19" s="75" t="s">
        <v>23</v>
      </c>
      <c r="C19" s="68" t="s">
        <v>365</v>
      </c>
      <c r="D19" s="55">
        <v>5599</v>
      </c>
    </row>
    <row r="20" spans="1:4">
      <c r="A20" s="68">
        <v>4</v>
      </c>
      <c r="B20" s="75" t="s">
        <v>24</v>
      </c>
      <c r="C20" s="68" t="s">
        <v>365</v>
      </c>
      <c r="D20" s="55">
        <v>5090</v>
      </c>
    </row>
    <row r="21" spans="1:4">
      <c r="A21" s="68">
        <v>5</v>
      </c>
      <c r="B21" s="75" t="s">
        <v>25</v>
      </c>
      <c r="C21" s="68" t="s">
        <v>365</v>
      </c>
      <c r="D21" s="55">
        <v>1846</v>
      </c>
    </row>
    <row r="22" spans="1:4">
      <c r="A22" s="68">
        <v>6</v>
      </c>
      <c r="B22" s="75" t="s">
        <v>26</v>
      </c>
      <c r="C22" s="68" t="s">
        <v>365</v>
      </c>
      <c r="D22" s="55">
        <v>1810</v>
      </c>
    </row>
    <row r="23" spans="1:4">
      <c r="A23" s="68">
        <v>7</v>
      </c>
      <c r="B23" s="75" t="s">
        <v>27</v>
      </c>
      <c r="C23" s="68" t="s">
        <v>365</v>
      </c>
      <c r="D23" s="55">
        <v>2520</v>
      </c>
    </row>
    <row r="24" spans="1:4">
      <c r="A24" s="68">
        <v>8</v>
      </c>
      <c r="B24" s="75" t="s">
        <v>28</v>
      </c>
      <c r="C24" s="68" t="s">
        <v>365</v>
      </c>
      <c r="D24" s="55">
        <v>1908</v>
      </c>
    </row>
    <row r="25" spans="1:4">
      <c r="A25" s="68">
        <v>9</v>
      </c>
      <c r="B25" s="75" t="s">
        <v>29</v>
      </c>
      <c r="C25" s="68" t="s">
        <v>365</v>
      </c>
      <c r="D25" s="55">
        <v>31674</v>
      </c>
    </row>
    <row r="26" spans="1:4">
      <c r="A26" s="68">
        <v>10</v>
      </c>
      <c r="B26" s="75" t="s">
        <v>30</v>
      </c>
      <c r="C26" s="68" t="s">
        <v>365</v>
      </c>
      <c r="D26" s="55">
        <v>1981</v>
      </c>
    </row>
    <row r="27" spans="1:4">
      <c r="A27" s="68">
        <v>11</v>
      </c>
      <c r="B27" s="75" t="s">
        <v>31</v>
      </c>
      <c r="C27" s="68" t="s">
        <v>365</v>
      </c>
      <c r="D27" s="55">
        <v>1471</v>
      </c>
    </row>
    <row r="28" spans="1:4">
      <c r="A28" s="68">
        <v>12</v>
      </c>
      <c r="B28" s="75" t="s">
        <v>32</v>
      </c>
      <c r="C28" s="68" t="s">
        <v>365</v>
      </c>
      <c r="D28" s="55">
        <v>6192</v>
      </c>
    </row>
    <row r="29" spans="1:4">
      <c r="A29" s="68">
        <v>13</v>
      </c>
      <c r="B29" s="75" t="s">
        <v>33</v>
      </c>
      <c r="C29" s="68" t="s">
        <v>365</v>
      </c>
      <c r="D29" s="55">
        <v>13215</v>
      </c>
    </row>
    <row r="30" spans="1:4">
      <c r="A30" s="68">
        <v>14</v>
      </c>
      <c r="B30" s="75" t="s">
        <v>34</v>
      </c>
      <c r="C30" s="68" t="s">
        <v>365</v>
      </c>
      <c r="D30" s="55">
        <v>5430</v>
      </c>
    </row>
    <row r="31" spans="1:4">
      <c r="A31" s="68">
        <v>15</v>
      </c>
      <c r="B31" s="75" t="s">
        <v>35</v>
      </c>
      <c r="C31" s="68" t="s">
        <v>365</v>
      </c>
      <c r="D31" s="55">
        <v>5371</v>
      </c>
    </row>
    <row r="32" spans="1:4">
      <c r="A32" s="68">
        <v>16</v>
      </c>
      <c r="B32" s="75" t="s">
        <v>36</v>
      </c>
      <c r="C32" s="68" t="s">
        <v>365</v>
      </c>
      <c r="D32" s="55">
        <v>1902</v>
      </c>
    </row>
    <row r="33" spans="1:4">
      <c r="A33" s="68">
        <v>17</v>
      </c>
      <c r="B33" s="75" t="s">
        <v>37</v>
      </c>
      <c r="C33" s="68" t="s">
        <v>365</v>
      </c>
      <c r="D33" s="55">
        <v>1696</v>
      </c>
    </row>
    <row r="34" spans="1:4">
      <c r="A34" s="68">
        <v>18</v>
      </c>
      <c r="B34" s="75" t="s">
        <v>38</v>
      </c>
      <c r="C34" s="68" t="s">
        <v>365</v>
      </c>
      <c r="D34" s="55">
        <v>5649</v>
      </c>
    </row>
    <row r="35" spans="1:4">
      <c r="A35" s="68">
        <v>19</v>
      </c>
      <c r="B35" s="75" t="s">
        <v>39</v>
      </c>
      <c r="C35" s="68" t="s">
        <v>365</v>
      </c>
      <c r="D35" s="55">
        <v>6855</v>
      </c>
    </row>
    <row r="36" spans="1:4">
      <c r="A36" s="68">
        <v>20</v>
      </c>
      <c r="B36" s="75" t="s">
        <v>40</v>
      </c>
      <c r="C36" s="68" t="s">
        <v>365</v>
      </c>
      <c r="D36" s="55">
        <v>8508</v>
      </c>
    </row>
    <row r="37" spans="1:4">
      <c r="A37" s="68">
        <v>21</v>
      </c>
      <c r="B37" s="75" t="s">
        <v>41</v>
      </c>
      <c r="C37" s="68" t="s">
        <v>365</v>
      </c>
      <c r="D37" s="55">
        <v>4185</v>
      </c>
    </row>
    <row r="38" spans="1:4">
      <c r="A38" s="68">
        <v>22</v>
      </c>
      <c r="B38" s="75" t="s">
        <v>42</v>
      </c>
      <c r="C38" s="68" t="s">
        <v>365</v>
      </c>
      <c r="D38" s="55">
        <v>5452</v>
      </c>
    </row>
    <row r="39" spans="1:4">
      <c r="A39" s="68">
        <v>23</v>
      </c>
      <c r="B39" s="75" t="s">
        <v>43</v>
      </c>
      <c r="C39" s="68" t="s">
        <v>365</v>
      </c>
      <c r="D39" s="55">
        <v>2593</v>
      </c>
    </row>
    <row r="40" spans="1:4">
      <c r="A40" s="68">
        <v>24</v>
      </c>
      <c r="B40" s="75" t="s">
        <v>44</v>
      </c>
      <c r="C40" s="68" t="s">
        <v>365</v>
      </c>
      <c r="D40" s="55">
        <v>1719</v>
      </c>
    </row>
    <row r="41" spans="1:4">
      <c r="A41" s="68">
        <v>25</v>
      </c>
      <c r="B41" s="75" t="s">
        <v>367</v>
      </c>
      <c r="C41" s="68" t="s">
        <v>365</v>
      </c>
      <c r="D41" s="55">
        <v>4907</v>
      </c>
    </row>
    <row r="42" spans="1:4">
      <c r="A42" s="68">
        <v>26</v>
      </c>
      <c r="B42" s="75" t="s">
        <v>45</v>
      </c>
      <c r="C42" s="68" t="s">
        <v>365</v>
      </c>
      <c r="D42" s="55">
        <v>3069</v>
      </c>
    </row>
    <row r="43" spans="1:4">
      <c r="A43" s="68">
        <v>27</v>
      </c>
      <c r="B43" s="75" t="s">
        <v>46</v>
      </c>
      <c r="C43" s="68" t="s">
        <v>365</v>
      </c>
      <c r="D43" s="55">
        <v>4173</v>
      </c>
    </row>
    <row r="44" spans="1:4">
      <c r="A44" s="68">
        <v>28</v>
      </c>
      <c r="B44" s="75" t="s">
        <v>47</v>
      </c>
      <c r="C44" s="68" t="s">
        <v>365</v>
      </c>
      <c r="D44" s="55">
        <v>2509</v>
      </c>
    </row>
    <row r="45" spans="1:4">
      <c r="A45" s="68">
        <v>29</v>
      </c>
      <c r="B45" s="75" t="s">
        <v>48</v>
      </c>
      <c r="C45" s="68" t="s">
        <v>365</v>
      </c>
      <c r="D45" s="55">
        <v>1744</v>
      </c>
    </row>
    <row r="46" spans="1:4">
      <c r="A46" s="68">
        <v>30</v>
      </c>
      <c r="B46" s="75" t="s">
        <v>49</v>
      </c>
      <c r="C46" s="68" t="s">
        <v>365</v>
      </c>
      <c r="D46" s="55">
        <v>5064</v>
      </c>
    </row>
    <row r="47" spans="1:4">
      <c r="A47" s="68">
        <v>31</v>
      </c>
      <c r="B47" s="75" t="s">
        <v>50</v>
      </c>
      <c r="C47" s="68" t="s">
        <v>365</v>
      </c>
      <c r="D47" s="55">
        <v>1990</v>
      </c>
    </row>
    <row r="48" spans="1:4">
      <c r="A48" s="68">
        <v>32</v>
      </c>
      <c r="B48" s="75" t="s">
        <v>51</v>
      </c>
      <c r="C48" s="68" t="s">
        <v>365</v>
      </c>
      <c r="D48" s="55">
        <v>13286</v>
      </c>
    </row>
    <row r="49" spans="1:4">
      <c r="A49" s="68">
        <v>33</v>
      </c>
      <c r="B49" s="75" t="s">
        <v>52</v>
      </c>
      <c r="C49" s="68" t="s">
        <v>365</v>
      </c>
      <c r="D49" s="55">
        <v>11723</v>
      </c>
    </row>
    <row r="50" spans="1:4">
      <c r="A50" s="68">
        <v>34</v>
      </c>
      <c r="B50" s="75" t="s">
        <v>53</v>
      </c>
      <c r="C50" s="68" t="s">
        <v>365</v>
      </c>
      <c r="D50" s="55">
        <v>3084</v>
      </c>
    </row>
    <row r="51" spans="1:4">
      <c r="A51" s="68">
        <v>35</v>
      </c>
      <c r="B51" s="75" t="s">
        <v>54</v>
      </c>
      <c r="C51" s="68" t="s">
        <v>365</v>
      </c>
      <c r="D51" s="55">
        <v>2692</v>
      </c>
    </row>
    <row r="52" spans="1:4">
      <c r="A52" s="68">
        <v>36</v>
      </c>
      <c r="B52" s="75" t="s">
        <v>55</v>
      </c>
      <c r="C52" s="68" t="s">
        <v>365</v>
      </c>
      <c r="D52" s="55">
        <v>10365</v>
      </c>
    </row>
    <row r="53" spans="1:4">
      <c r="A53" s="68">
        <v>37</v>
      </c>
      <c r="B53" s="75" t="s">
        <v>56</v>
      </c>
      <c r="C53" s="68" t="s">
        <v>365</v>
      </c>
      <c r="D53" s="55">
        <v>3027</v>
      </c>
    </row>
    <row r="54" spans="1:4">
      <c r="A54" s="68">
        <v>38</v>
      </c>
      <c r="B54" s="75" t="s">
        <v>57</v>
      </c>
      <c r="C54" s="68" t="s">
        <v>365</v>
      </c>
      <c r="D54" s="55">
        <v>1879</v>
      </c>
    </row>
    <row r="55" spans="1:4">
      <c r="A55" s="68">
        <v>39</v>
      </c>
      <c r="B55" s="75" t="s">
        <v>58</v>
      </c>
      <c r="C55" s="68" t="s">
        <v>365</v>
      </c>
      <c r="D55" s="55">
        <v>5937</v>
      </c>
    </row>
    <row r="56" spans="1:4">
      <c r="A56" s="68">
        <v>40</v>
      </c>
      <c r="B56" s="75" t="s">
        <v>59</v>
      </c>
      <c r="C56" s="68" t="s">
        <v>365</v>
      </c>
      <c r="D56" s="55">
        <v>4579</v>
      </c>
    </row>
    <row r="57" spans="1:4">
      <c r="A57" s="68">
        <v>41</v>
      </c>
      <c r="B57" s="75" t="s">
        <v>60</v>
      </c>
      <c r="C57" s="68" t="s">
        <v>365</v>
      </c>
      <c r="D57" s="55">
        <v>1736</v>
      </c>
    </row>
    <row r="58" spans="1:4">
      <c r="A58" s="68">
        <v>42</v>
      </c>
      <c r="B58" s="75" t="s">
        <v>61</v>
      </c>
      <c r="C58" s="68" t="s">
        <v>365</v>
      </c>
      <c r="D58" s="55">
        <v>2827</v>
      </c>
    </row>
    <row r="59" spans="1:4">
      <c r="A59" s="68">
        <v>43</v>
      </c>
      <c r="B59" s="75" t="s">
        <v>62</v>
      </c>
      <c r="C59" s="68" t="s">
        <v>365</v>
      </c>
      <c r="D59" s="55">
        <v>7218</v>
      </c>
    </row>
    <row r="60" spans="1:4">
      <c r="A60" s="68">
        <v>44</v>
      </c>
      <c r="B60" s="75" t="s">
        <v>63</v>
      </c>
      <c r="C60" s="68" t="s">
        <v>365</v>
      </c>
      <c r="D60" s="55">
        <v>17640</v>
      </c>
    </row>
    <row r="61" spans="1:4">
      <c r="A61" s="68">
        <v>45</v>
      </c>
      <c r="B61" s="75" t="s">
        <v>64</v>
      </c>
      <c r="C61" s="68" t="s">
        <v>365</v>
      </c>
      <c r="D61" s="55">
        <v>7349</v>
      </c>
    </row>
    <row r="62" spans="1:4">
      <c r="A62" s="68">
        <v>46</v>
      </c>
      <c r="B62" s="75" t="s">
        <v>65</v>
      </c>
      <c r="C62" s="68" t="s">
        <v>365</v>
      </c>
      <c r="D62" s="55">
        <v>7349</v>
      </c>
    </row>
    <row r="63" spans="1:4">
      <c r="A63" s="68">
        <v>47</v>
      </c>
      <c r="B63" s="75" t="s">
        <v>66</v>
      </c>
      <c r="C63" s="68" t="s">
        <v>365</v>
      </c>
      <c r="D63" s="55">
        <v>13607</v>
      </c>
    </row>
    <row r="64" spans="1:4">
      <c r="A64" s="68">
        <v>48</v>
      </c>
      <c r="B64" s="75" t="s">
        <v>67</v>
      </c>
      <c r="C64" s="68" t="s">
        <v>365</v>
      </c>
      <c r="D64" s="55">
        <v>30644</v>
      </c>
    </row>
    <row r="65" spans="1:4">
      <c r="A65" s="68">
        <v>49</v>
      </c>
      <c r="B65" s="75" t="s">
        <v>68</v>
      </c>
      <c r="C65" s="68" t="s">
        <v>365</v>
      </c>
      <c r="D65" s="55">
        <v>16799</v>
      </c>
    </row>
    <row r="66" spans="1:4">
      <c r="A66" s="68">
        <v>50</v>
      </c>
      <c r="B66" s="75" t="s">
        <v>69</v>
      </c>
      <c r="C66" s="68" t="s">
        <v>365</v>
      </c>
      <c r="D66" s="55">
        <v>6924</v>
      </c>
    </row>
    <row r="67" spans="1:4">
      <c r="A67" s="68">
        <v>51</v>
      </c>
      <c r="B67" s="75" t="s">
        <v>70</v>
      </c>
      <c r="C67" s="68" t="s">
        <v>365</v>
      </c>
      <c r="D67" s="55">
        <v>5670</v>
      </c>
    </row>
    <row r="68" spans="1:4">
      <c r="A68" s="68">
        <v>52</v>
      </c>
      <c r="B68" s="75" t="s">
        <v>71</v>
      </c>
      <c r="C68" s="68" t="s">
        <v>365</v>
      </c>
      <c r="D68" s="55">
        <v>6369</v>
      </c>
    </row>
    <row r="69" spans="1:4">
      <c r="A69" s="68">
        <v>53</v>
      </c>
      <c r="B69" s="75" t="s">
        <v>72</v>
      </c>
      <c r="C69" s="68" t="s">
        <v>365</v>
      </c>
      <c r="D69" s="55">
        <v>9631</v>
      </c>
    </row>
    <row r="70" spans="1:4">
      <c r="A70" s="68">
        <v>54</v>
      </c>
      <c r="B70" s="75" t="s">
        <v>73</v>
      </c>
      <c r="C70" s="68" t="s">
        <v>365</v>
      </c>
      <c r="D70" s="55">
        <v>5035</v>
      </c>
    </row>
    <row r="71" spans="1:4">
      <c r="A71" s="68">
        <v>55</v>
      </c>
      <c r="B71" s="75" t="s">
        <v>74</v>
      </c>
      <c r="C71" s="68" t="s">
        <v>365</v>
      </c>
      <c r="D71" s="55">
        <v>14891</v>
      </c>
    </row>
    <row r="72" spans="1:4">
      <c r="A72" s="68">
        <v>56</v>
      </c>
      <c r="B72" s="75" t="s">
        <v>75</v>
      </c>
      <c r="C72" s="68" t="s">
        <v>365</v>
      </c>
      <c r="D72" s="55">
        <v>6872</v>
      </c>
    </row>
    <row r="73" spans="1:4">
      <c r="A73" s="68">
        <v>57</v>
      </c>
      <c r="B73" s="75" t="s">
        <v>76</v>
      </c>
      <c r="C73" s="68" t="s">
        <v>365</v>
      </c>
      <c r="D73" s="55">
        <v>6561</v>
      </c>
    </row>
    <row r="74" spans="1:4">
      <c r="A74" s="68">
        <v>58</v>
      </c>
      <c r="B74" s="75" t="s">
        <v>77</v>
      </c>
      <c r="C74" s="68" t="s">
        <v>365</v>
      </c>
      <c r="D74" s="55">
        <v>7190</v>
      </c>
    </row>
    <row r="75" spans="1:4">
      <c r="A75" s="68">
        <v>59</v>
      </c>
      <c r="B75" s="75" t="s">
        <v>78</v>
      </c>
      <c r="C75" s="68" t="s">
        <v>365</v>
      </c>
      <c r="D75" s="55">
        <v>4301</v>
      </c>
    </row>
    <row r="76" spans="1:4">
      <c r="A76" s="68">
        <v>60</v>
      </c>
      <c r="B76" s="75" t="s">
        <v>79</v>
      </c>
      <c r="C76" s="68" t="s">
        <v>365</v>
      </c>
      <c r="D76" s="55">
        <v>5512</v>
      </c>
    </row>
    <row r="77" spans="1:4">
      <c r="A77" s="68">
        <v>61</v>
      </c>
      <c r="B77" s="75" t="s">
        <v>80</v>
      </c>
      <c r="C77" s="68" t="s">
        <v>365</v>
      </c>
      <c r="D77" s="55">
        <v>7353</v>
      </c>
    </row>
    <row r="78" spans="1:4">
      <c r="A78" s="68">
        <v>62</v>
      </c>
      <c r="B78" s="75" t="s">
        <v>81</v>
      </c>
      <c r="C78" s="68" t="s">
        <v>365</v>
      </c>
      <c r="D78" s="55">
        <v>9276</v>
      </c>
    </row>
    <row r="79" spans="1:4">
      <c r="A79" s="68">
        <v>63</v>
      </c>
      <c r="B79" s="75" t="s">
        <v>82</v>
      </c>
      <c r="C79" s="68" t="s">
        <v>365</v>
      </c>
      <c r="D79" s="55">
        <v>10579</v>
      </c>
    </row>
    <row r="80" spans="1:4">
      <c r="A80" s="68">
        <v>64</v>
      </c>
      <c r="B80" s="75" t="s">
        <v>83</v>
      </c>
      <c r="C80" s="68" t="s">
        <v>365</v>
      </c>
      <c r="D80" s="55">
        <v>1145</v>
      </c>
    </row>
    <row r="81" spans="1:4">
      <c r="A81" s="68">
        <v>65</v>
      </c>
      <c r="B81" s="75" t="s">
        <v>84</v>
      </c>
      <c r="C81" s="68" t="s">
        <v>365</v>
      </c>
      <c r="D81" s="55">
        <v>1414</v>
      </c>
    </row>
    <row r="82" spans="1:4">
      <c r="A82" s="68">
        <v>66</v>
      </c>
      <c r="B82" s="75" t="s">
        <v>85</v>
      </c>
      <c r="C82" s="68" t="s">
        <v>365</v>
      </c>
      <c r="D82" s="55">
        <v>1414</v>
      </c>
    </row>
    <row r="83" spans="1:4">
      <c r="A83" s="68">
        <v>67</v>
      </c>
      <c r="B83" s="75" t="s">
        <v>86</v>
      </c>
      <c r="C83" s="68" t="s">
        <v>365</v>
      </c>
      <c r="D83" s="55">
        <v>1145</v>
      </c>
    </row>
    <row r="84" spans="1:4">
      <c r="A84" s="68">
        <v>68</v>
      </c>
      <c r="B84" s="75" t="s">
        <v>87</v>
      </c>
      <c r="C84" s="68" t="s">
        <v>365</v>
      </c>
      <c r="D84" s="55">
        <v>1145</v>
      </c>
    </row>
    <row r="85" spans="1:4">
      <c r="A85" s="68">
        <v>69</v>
      </c>
      <c r="B85" s="75" t="s">
        <v>88</v>
      </c>
      <c r="C85" s="68" t="s">
        <v>365</v>
      </c>
      <c r="D85" s="55">
        <v>1414</v>
      </c>
    </row>
    <row r="86" spans="1:4">
      <c r="A86" s="68">
        <v>70</v>
      </c>
      <c r="B86" s="75" t="s">
        <v>89</v>
      </c>
      <c r="C86" s="68" t="s">
        <v>365</v>
      </c>
      <c r="D86" s="55">
        <v>1414</v>
      </c>
    </row>
    <row r="87" spans="1:4">
      <c r="A87" s="68">
        <v>71</v>
      </c>
      <c r="B87" s="75" t="s">
        <v>90</v>
      </c>
      <c r="C87" s="68" t="s">
        <v>365</v>
      </c>
      <c r="D87" s="55">
        <v>3394</v>
      </c>
    </row>
    <row r="88" spans="1:4">
      <c r="A88" s="68">
        <v>72</v>
      </c>
      <c r="B88" s="75" t="s">
        <v>91</v>
      </c>
      <c r="C88" s="68" t="s">
        <v>365</v>
      </c>
      <c r="D88" s="55">
        <v>1321</v>
      </c>
    </row>
    <row r="89" spans="1:4">
      <c r="A89" s="68">
        <v>73</v>
      </c>
      <c r="B89" s="75" t="s">
        <v>92</v>
      </c>
      <c r="C89" s="68" t="s">
        <v>365</v>
      </c>
      <c r="D89" s="55">
        <v>1132</v>
      </c>
    </row>
    <row r="90" spans="1:4">
      <c r="A90" s="68">
        <v>74</v>
      </c>
      <c r="B90" s="75" t="s">
        <v>93</v>
      </c>
      <c r="C90" s="68" t="s">
        <v>365</v>
      </c>
      <c r="D90" s="55">
        <v>848</v>
      </c>
    </row>
    <row r="91" spans="1:4">
      <c r="A91" s="68">
        <v>75</v>
      </c>
      <c r="B91" s="75" t="s">
        <v>94</v>
      </c>
      <c r="C91" s="68" t="s">
        <v>365</v>
      </c>
      <c r="D91" s="55">
        <v>594</v>
      </c>
    </row>
    <row r="92" spans="1:4">
      <c r="A92" s="68">
        <v>76</v>
      </c>
      <c r="B92" s="75" t="s">
        <v>95</v>
      </c>
      <c r="C92" s="68" t="s">
        <v>365</v>
      </c>
      <c r="D92" s="55">
        <v>249</v>
      </c>
    </row>
    <row r="93" spans="1:4">
      <c r="A93" s="68">
        <v>77</v>
      </c>
      <c r="B93" s="75" t="s">
        <v>96</v>
      </c>
      <c r="C93" s="68" t="s">
        <v>365</v>
      </c>
      <c r="D93" s="55">
        <v>249</v>
      </c>
    </row>
    <row r="94" spans="1:4">
      <c r="A94" s="68">
        <v>78</v>
      </c>
      <c r="B94" s="75" t="s">
        <v>97</v>
      </c>
      <c r="C94" s="68" t="s">
        <v>365</v>
      </c>
      <c r="D94" s="55">
        <v>209</v>
      </c>
    </row>
    <row r="95" spans="1:4">
      <c r="A95" s="68">
        <v>79</v>
      </c>
      <c r="B95" s="75" t="s">
        <v>98</v>
      </c>
      <c r="C95" s="68" t="s">
        <v>365</v>
      </c>
      <c r="D95" s="55">
        <v>191</v>
      </c>
    </row>
    <row r="96" spans="1:4">
      <c r="A96" s="68">
        <v>80</v>
      </c>
      <c r="B96" s="75" t="s">
        <v>99</v>
      </c>
      <c r="C96" s="68" t="s">
        <v>365</v>
      </c>
      <c r="D96" s="55">
        <v>214</v>
      </c>
    </row>
    <row r="97" spans="1:4">
      <c r="A97" s="68">
        <v>81</v>
      </c>
      <c r="B97" s="75" t="s">
        <v>100</v>
      </c>
      <c r="C97" s="68" t="s">
        <v>365</v>
      </c>
      <c r="D97" s="55">
        <v>214</v>
      </c>
    </row>
    <row r="98" spans="1:4">
      <c r="A98" s="68">
        <v>82</v>
      </c>
      <c r="B98" s="75" t="s">
        <v>101</v>
      </c>
      <c r="C98" s="68" t="s">
        <v>365</v>
      </c>
      <c r="D98" s="55">
        <v>1995</v>
      </c>
    </row>
    <row r="99" spans="1:4">
      <c r="A99" s="68">
        <v>83</v>
      </c>
      <c r="B99" s="75" t="s">
        <v>102</v>
      </c>
      <c r="C99" s="68" t="s">
        <v>365</v>
      </c>
      <c r="D99" s="55">
        <v>1995</v>
      </c>
    </row>
    <row r="100" spans="1:4">
      <c r="A100" s="68">
        <v>84</v>
      </c>
      <c r="B100" s="75" t="s">
        <v>103</v>
      </c>
      <c r="C100" s="68" t="s">
        <v>365</v>
      </c>
      <c r="D100" s="55">
        <v>2395</v>
      </c>
    </row>
    <row r="101" spans="1:4">
      <c r="A101" s="68">
        <v>85</v>
      </c>
      <c r="B101" s="75" t="s">
        <v>104</v>
      </c>
      <c r="C101" s="68" t="s">
        <v>365</v>
      </c>
      <c r="D101" s="55">
        <v>2395</v>
      </c>
    </row>
    <row r="102" spans="1:4">
      <c r="A102" s="68">
        <v>86</v>
      </c>
      <c r="B102" s="75" t="s">
        <v>105</v>
      </c>
      <c r="C102" s="68" t="s">
        <v>365</v>
      </c>
      <c r="D102" s="55">
        <v>4185</v>
      </c>
    </row>
    <row r="103" spans="1:4">
      <c r="A103" s="68">
        <v>87</v>
      </c>
      <c r="B103" s="75" t="s">
        <v>106</v>
      </c>
      <c r="C103" s="68" t="s">
        <v>365</v>
      </c>
      <c r="D103" s="55">
        <v>3054</v>
      </c>
    </row>
    <row r="104" spans="1:4">
      <c r="A104" s="68">
        <v>88</v>
      </c>
      <c r="B104" s="75" t="s">
        <v>107</v>
      </c>
      <c r="C104" s="68" t="s">
        <v>365</v>
      </c>
      <c r="D104" s="55">
        <v>1517</v>
      </c>
    </row>
    <row r="105" spans="1:4">
      <c r="A105" s="68">
        <v>89</v>
      </c>
      <c r="B105" s="75" t="s">
        <v>108</v>
      </c>
      <c r="C105" s="68" t="s">
        <v>365</v>
      </c>
      <c r="D105" s="55">
        <v>1403</v>
      </c>
    </row>
    <row r="106" spans="1:4">
      <c r="A106" s="68">
        <v>90</v>
      </c>
      <c r="B106" s="75" t="s">
        <v>109</v>
      </c>
      <c r="C106" s="68" t="s">
        <v>365</v>
      </c>
      <c r="D106" s="55">
        <v>2727</v>
      </c>
    </row>
    <row r="107" spans="1:4">
      <c r="A107" s="68">
        <v>91</v>
      </c>
      <c r="B107" s="75" t="s">
        <v>110</v>
      </c>
      <c r="C107" s="68" t="s">
        <v>365</v>
      </c>
      <c r="D107" s="55">
        <v>3033</v>
      </c>
    </row>
    <row r="108" spans="1:4">
      <c r="A108" s="68">
        <v>92</v>
      </c>
      <c r="B108" s="75" t="s">
        <v>111</v>
      </c>
      <c r="C108" s="68" t="s">
        <v>365</v>
      </c>
      <c r="D108" s="55">
        <v>4014</v>
      </c>
    </row>
    <row r="109" spans="1:4">
      <c r="A109" s="68">
        <v>93</v>
      </c>
      <c r="B109" s="75" t="s">
        <v>112</v>
      </c>
      <c r="C109" s="68" t="s">
        <v>365</v>
      </c>
      <c r="D109" s="55">
        <v>5262</v>
      </c>
    </row>
    <row r="110" spans="1:4">
      <c r="A110" s="68">
        <v>94</v>
      </c>
      <c r="B110" s="75" t="s">
        <v>113</v>
      </c>
      <c r="C110" s="68" t="s">
        <v>365</v>
      </c>
      <c r="D110" s="55">
        <v>5429</v>
      </c>
    </row>
    <row r="111" spans="1:4">
      <c r="A111" s="68">
        <v>95</v>
      </c>
      <c r="B111" s="75" t="s">
        <v>114</v>
      </c>
      <c r="C111" s="68" t="s">
        <v>365</v>
      </c>
      <c r="D111" s="55">
        <v>4185</v>
      </c>
    </row>
    <row r="112" spans="1:4">
      <c r="A112" s="68">
        <v>96</v>
      </c>
      <c r="B112" s="75" t="s">
        <v>115</v>
      </c>
      <c r="C112" s="68" t="s">
        <v>365</v>
      </c>
      <c r="D112" s="55">
        <v>3054</v>
      </c>
    </row>
    <row r="113" spans="1:4">
      <c r="A113" s="68">
        <v>97</v>
      </c>
      <c r="B113" s="75" t="s">
        <v>116</v>
      </c>
      <c r="C113" s="68" t="s">
        <v>365</v>
      </c>
      <c r="D113" s="55">
        <v>1517</v>
      </c>
    </row>
    <row r="114" spans="1:4">
      <c r="A114" s="68">
        <v>98</v>
      </c>
      <c r="B114" s="75" t="s">
        <v>117</v>
      </c>
      <c r="C114" s="68" t="s">
        <v>365</v>
      </c>
      <c r="D114" s="55">
        <v>2657</v>
      </c>
    </row>
    <row r="115" spans="1:4">
      <c r="A115" s="68">
        <v>99</v>
      </c>
      <c r="B115" s="75" t="s">
        <v>118</v>
      </c>
      <c r="C115" s="68" t="s">
        <v>365</v>
      </c>
      <c r="D115" s="55">
        <v>12052</v>
      </c>
    </row>
    <row r="116" spans="1:4">
      <c r="A116" s="68">
        <v>100</v>
      </c>
      <c r="B116" s="75" t="s">
        <v>119</v>
      </c>
      <c r="C116" s="68" t="s">
        <v>365</v>
      </c>
      <c r="D116" s="55">
        <v>12052</v>
      </c>
    </row>
    <row r="117" spans="1:4">
      <c r="A117" s="68">
        <v>101</v>
      </c>
      <c r="B117" s="75" t="s">
        <v>120</v>
      </c>
      <c r="C117" s="68" t="s">
        <v>365</v>
      </c>
      <c r="D117" s="55">
        <v>14814</v>
      </c>
    </row>
    <row r="118" spans="1:4">
      <c r="A118" s="68">
        <v>102</v>
      </c>
      <c r="B118" s="75" t="s">
        <v>121</v>
      </c>
      <c r="C118" s="68" t="s">
        <v>365</v>
      </c>
      <c r="D118" s="55">
        <v>14814</v>
      </c>
    </row>
    <row r="119" spans="1:4">
      <c r="A119" s="68">
        <v>103</v>
      </c>
      <c r="B119" s="75" t="s">
        <v>122</v>
      </c>
      <c r="C119" s="68" t="s">
        <v>365</v>
      </c>
      <c r="D119" s="55">
        <v>11452</v>
      </c>
    </row>
    <row r="120" spans="1:4">
      <c r="A120" s="68">
        <v>104</v>
      </c>
      <c r="B120" s="75" t="s">
        <v>123</v>
      </c>
      <c r="C120" s="68" t="s">
        <v>365</v>
      </c>
      <c r="D120" s="55">
        <v>31927</v>
      </c>
    </row>
    <row r="121" spans="1:4">
      <c r="A121" s="68">
        <v>105</v>
      </c>
      <c r="B121" s="75" t="s">
        <v>124</v>
      </c>
      <c r="C121" s="68" t="s">
        <v>365</v>
      </c>
      <c r="D121" s="55">
        <v>719</v>
      </c>
    </row>
    <row r="122" spans="1:4">
      <c r="A122" s="68">
        <v>106</v>
      </c>
      <c r="B122" s="75" t="s">
        <v>125</v>
      </c>
      <c r="C122" s="68" t="s">
        <v>365</v>
      </c>
      <c r="D122" s="55">
        <v>546</v>
      </c>
    </row>
    <row r="123" spans="1:4">
      <c r="A123" s="68">
        <v>107</v>
      </c>
      <c r="B123" s="75" t="s">
        <v>126</v>
      </c>
      <c r="C123" s="68" t="s">
        <v>365</v>
      </c>
      <c r="D123" s="55">
        <v>635</v>
      </c>
    </row>
    <row r="124" spans="1:4">
      <c r="A124" s="68">
        <v>108</v>
      </c>
      <c r="B124" s="75" t="s">
        <v>127</v>
      </c>
      <c r="C124" s="68" t="s">
        <v>365</v>
      </c>
      <c r="D124" s="55">
        <v>662</v>
      </c>
    </row>
    <row r="125" spans="1:4">
      <c r="A125" s="68">
        <v>109</v>
      </c>
      <c r="B125" s="75" t="s">
        <v>128</v>
      </c>
      <c r="C125" s="68" t="s">
        <v>365</v>
      </c>
      <c r="D125" s="55">
        <v>467</v>
      </c>
    </row>
    <row r="126" spans="1:4">
      <c r="A126" s="68">
        <v>110</v>
      </c>
      <c r="B126" s="75" t="s">
        <v>129</v>
      </c>
      <c r="C126" s="68" t="s">
        <v>365</v>
      </c>
      <c r="D126" s="55">
        <v>696</v>
      </c>
    </row>
    <row r="127" spans="1:4">
      <c r="A127" s="68">
        <v>111</v>
      </c>
      <c r="B127" s="75" t="s">
        <v>130</v>
      </c>
      <c r="C127" s="68" t="s">
        <v>365</v>
      </c>
      <c r="D127" s="55">
        <v>696</v>
      </c>
    </row>
    <row r="128" spans="1:4">
      <c r="A128" s="68">
        <v>112</v>
      </c>
      <c r="B128" s="75" t="s">
        <v>131</v>
      </c>
      <c r="C128" s="68" t="s">
        <v>365</v>
      </c>
      <c r="D128" s="55">
        <v>1222</v>
      </c>
    </row>
    <row r="129" spans="1:4">
      <c r="A129" s="68">
        <v>113</v>
      </c>
      <c r="B129" s="75" t="s">
        <v>132</v>
      </c>
      <c r="C129" s="68" t="s">
        <v>365</v>
      </c>
      <c r="D129" s="55">
        <v>1296</v>
      </c>
    </row>
    <row r="130" spans="1:4">
      <c r="A130" s="68">
        <v>114</v>
      </c>
      <c r="B130" s="75" t="s">
        <v>133</v>
      </c>
      <c r="C130" s="68" t="s">
        <v>365</v>
      </c>
      <c r="D130" s="55">
        <v>1296</v>
      </c>
    </row>
    <row r="131" spans="1:4">
      <c r="A131" s="68">
        <v>115</v>
      </c>
      <c r="B131" s="75" t="s">
        <v>134</v>
      </c>
      <c r="C131" s="68" t="s">
        <v>365</v>
      </c>
      <c r="D131" s="55">
        <v>1296</v>
      </c>
    </row>
    <row r="132" spans="1:4">
      <c r="A132" s="68">
        <v>116</v>
      </c>
      <c r="B132" s="75" t="s">
        <v>135</v>
      </c>
      <c r="C132" s="68" t="s">
        <v>365</v>
      </c>
      <c r="D132" s="55">
        <v>1296</v>
      </c>
    </row>
    <row r="133" spans="1:4">
      <c r="A133" s="68">
        <v>117</v>
      </c>
      <c r="B133" s="75" t="s">
        <v>136</v>
      </c>
      <c r="C133" s="68" t="s">
        <v>365</v>
      </c>
      <c r="D133" s="55">
        <v>1296</v>
      </c>
    </row>
    <row r="134" spans="1:4">
      <c r="A134" s="68">
        <v>118</v>
      </c>
      <c r="B134" s="75" t="s">
        <v>137</v>
      </c>
      <c r="C134" s="68" t="s">
        <v>365</v>
      </c>
      <c r="D134" s="55">
        <v>1414</v>
      </c>
    </row>
    <row r="135" spans="1:4">
      <c r="A135" s="68">
        <v>119</v>
      </c>
      <c r="B135" s="75" t="s">
        <v>138</v>
      </c>
      <c r="C135" s="68" t="s">
        <v>365</v>
      </c>
      <c r="D135" s="55">
        <v>1494</v>
      </c>
    </row>
    <row r="136" spans="1:4">
      <c r="A136" s="68">
        <v>120</v>
      </c>
      <c r="B136" s="75" t="s">
        <v>139</v>
      </c>
      <c r="C136" s="68" t="s">
        <v>365</v>
      </c>
      <c r="D136" s="55">
        <v>1494</v>
      </c>
    </row>
    <row r="137" spans="1:4">
      <c r="A137" s="68">
        <v>121</v>
      </c>
      <c r="B137" s="75" t="s">
        <v>140</v>
      </c>
      <c r="C137" s="68" t="s">
        <v>365</v>
      </c>
      <c r="D137" s="55">
        <v>1454</v>
      </c>
    </row>
    <row r="138" spans="1:4">
      <c r="A138" s="68">
        <v>122</v>
      </c>
      <c r="B138" s="75" t="s">
        <v>141</v>
      </c>
      <c r="C138" s="68" t="s">
        <v>365</v>
      </c>
      <c r="D138" s="55">
        <v>1494</v>
      </c>
    </row>
    <row r="139" spans="1:4">
      <c r="A139" s="68">
        <v>123</v>
      </c>
      <c r="B139" s="75" t="s">
        <v>142</v>
      </c>
      <c r="C139" s="68" t="s">
        <v>365</v>
      </c>
      <c r="D139" s="55">
        <v>1494</v>
      </c>
    </row>
    <row r="140" spans="1:4">
      <c r="A140" s="68">
        <v>124</v>
      </c>
      <c r="B140" s="75" t="s">
        <v>143</v>
      </c>
      <c r="C140" s="68" t="s">
        <v>365</v>
      </c>
      <c r="D140" s="55">
        <v>1765</v>
      </c>
    </row>
    <row r="141" spans="1:4">
      <c r="A141" s="68">
        <v>125</v>
      </c>
      <c r="B141" s="75" t="s">
        <v>144</v>
      </c>
      <c r="C141" s="68" t="s">
        <v>365</v>
      </c>
      <c r="D141" s="55">
        <v>2796</v>
      </c>
    </row>
    <row r="142" spans="1:4">
      <c r="A142" s="68">
        <v>126</v>
      </c>
      <c r="B142" s="75" t="s">
        <v>145</v>
      </c>
      <c r="C142" s="68" t="s">
        <v>365</v>
      </c>
      <c r="D142" s="55">
        <v>2965</v>
      </c>
    </row>
    <row r="143" spans="1:4">
      <c r="A143" s="68">
        <v>127</v>
      </c>
      <c r="B143" s="75" t="s">
        <v>146</v>
      </c>
      <c r="C143" s="68" t="s">
        <v>365</v>
      </c>
      <c r="D143" s="55">
        <v>2133</v>
      </c>
    </row>
    <row r="144" spans="1:4">
      <c r="A144" s="68">
        <v>128</v>
      </c>
      <c r="B144" s="75" t="s">
        <v>147</v>
      </c>
      <c r="C144" s="68" t="s">
        <v>365</v>
      </c>
      <c r="D144" s="55">
        <v>2762</v>
      </c>
    </row>
    <row r="145" spans="1:4">
      <c r="A145" s="68">
        <v>129</v>
      </c>
      <c r="B145" s="75" t="s">
        <v>148</v>
      </c>
      <c r="C145" s="68" t="s">
        <v>365</v>
      </c>
      <c r="D145" s="55">
        <v>2486</v>
      </c>
    </row>
    <row r="146" spans="1:4">
      <c r="A146" s="68">
        <v>130</v>
      </c>
      <c r="B146" s="75" t="s">
        <v>149</v>
      </c>
      <c r="C146" s="68" t="s">
        <v>365</v>
      </c>
      <c r="D146" s="55">
        <v>2821</v>
      </c>
    </row>
    <row r="147" spans="1:4">
      <c r="A147" s="68">
        <v>131</v>
      </c>
      <c r="B147" s="75" t="s">
        <v>150</v>
      </c>
      <c r="C147" s="68" t="s">
        <v>365</v>
      </c>
      <c r="D147" s="55">
        <v>2821</v>
      </c>
    </row>
    <row r="148" spans="1:4">
      <c r="A148" s="68">
        <v>132</v>
      </c>
      <c r="B148" s="75" t="s">
        <v>151</v>
      </c>
      <c r="C148" s="68" t="s">
        <v>365</v>
      </c>
      <c r="D148" s="55">
        <v>3487</v>
      </c>
    </row>
    <row r="149" spans="1:4">
      <c r="A149" s="68">
        <v>133</v>
      </c>
      <c r="B149" s="75" t="s">
        <v>152</v>
      </c>
      <c r="C149" s="68" t="s">
        <v>365</v>
      </c>
      <c r="D149" s="55">
        <v>3364</v>
      </c>
    </row>
    <row r="150" spans="1:4">
      <c r="A150" s="68">
        <v>134</v>
      </c>
      <c r="B150" s="75" t="s">
        <v>153</v>
      </c>
      <c r="C150" s="68" t="s">
        <v>365</v>
      </c>
      <c r="D150" s="55">
        <v>2822</v>
      </c>
    </row>
    <row r="151" spans="1:4">
      <c r="A151" s="68">
        <v>135</v>
      </c>
      <c r="B151" s="75" t="s">
        <v>154</v>
      </c>
      <c r="C151" s="68" t="s">
        <v>365</v>
      </c>
      <c r="D151" s="55">
        <v>19336</v>
      </c>
    </row>
    <row r="152" spans="1:4">
      <c r="A152" s="68">
        <v>136</v>
      </c>
      <c r="B152" s="75" t="s">
        <v>155</v>
      </c>
      <c r="C152" s="68" t="s">
        <v>365</v>
      </c>
      <c r="D152" s="55">
        <v>6636</v>
      </c>
    </row>
    <row r="153" spans="1:4">
      <c r="A153" s="68">
        <v>137</v>
      </c>
      <c r="B153" s="75" t="s">
        <v>156</v>
      </c>
      <c r="C153" s="68" t="s">
        <v>365</v>
      </c>
      <c r="D153" s="55">
        <v>17500</v>
      </c>
    </row>
    <row r="154" spans="1:4">
      <c r="A154" s="68">
        <v>138</v>
      </c>
      <c r="B154" s="75" t="s">
        <v>157</v>
      </c>
      <c r="C154" s="68" t="s">
        <v>365</v>
      </c>
      <c r="D154" s="55">
        <v>2489</v>
      </c>
    </row>
    <row r="155" spans="1:4">
      <c r="A155" s="68">
        <v>139</v>
      </c>
      <c r="B155" s="75" t="s">
        <v>158</v>
      </c>
      <c r="C155" s="68" t="s">
        <v>365</v>
      </c>
      <c r="D155" s="55">
        <v>7808</v>
      </c>
    </row>
    <row r="156" spans="1:4">
      <c r="A156" s="68">
        <v>140</v>
      </c>
      <c r="B156" s="75" t="s">
        <v>159</v>
      </c>
      <c r="C156" s="68" t="s">
        <v>365</v>
      </c>
      <c r="D156" s="55">
        <v>11886</v>
      </c>
    </row>
    <row r="157" spans="1:4">
      <c r="A157" s="68">
        <v>141</v>
      </c>
      <c r="B157" s="75" t="s">
        <v>160</v>
      </c>
      <c r="C157" s="68" t="s">
        <v>365</v>
      </c>
      <c r="D157" s="55">
        <v>1174</v>
      </c>
    </row>
    <row r="158" spans="1:4">
      <c r="A158" s="68">
        <v>142</v>
      </c>
      <c r="B158" s="75" t="s">
        <v>161</v>
      </c>
      <c r="C158" s="68" t="s">
        <v>365</v>
      </c>
      <c r="D158" s="55">
        <v>7731</v>
      </c>
    </row>
    <row r="159" spans="1:4">
      <c r="A159" s="68">
        <v>143</v>
      </c>
      <c r="B159" s="75" t="s">
        <v>162</v>
      </c>
      <c r="C159" s="68" t="s">
        <v>365</v>
      </c>
      <c r="D159" s="55">
        <v>7731</v>
      </c>
    </row>
    <row r="160" spans="1:4">
      <c r="A160" s="68">
        <v>144</v>
      </c>
      <c r="B160" s="75" t="s">
        <v>163</v>
      </c>
      <c r="C160" s="68" t="s">
        <v>365</v>
      </c>
      <c r="D160" s="55">
        <v>9042</v>
      </c>
    </row>
    <row r="161" spans="1:4">
      <c r="A161" s="68">
        <v>145</v>
      </c>
      <c r="B161" s="75" t="s">
        <v>164</v>
      </c>
      <c r="C161" s="68" t="s">
        <v>365</v>
      </c>
      <c r="D161" s="55">
        <v>10292</v>
      </c>
    </row>
    <row r="162" spans="1:4">
      <c r="A162" s="68">
        <v>146</v>
      </c>
      <c r="B162" s="75" t="s">
        <v>165</v>
      </c>
      <c r="C162" s="68" t="s">
        <v>365</v>
      </c>
      <c r="D162" s="55">
        <v>14219</v>
      </c>
    </row>
    <row r="163" spans="1:4">
      <c r="A163" s="68">
        <v>147</v>
      </c>
      <c r="B163" s="75" t="s">
        <v>166</v>
      </c>
      <c r="C163" s="68" t="s">
        <v>365</v>
      </c>
      <c r="D163" s="55">
        <v>12178</v>
      </c>
    </row>
    <row r="164" spans="1:4">
      <c r="A164" s="68">
        <v>148</v>
      </c>
      <c r="B164" s="75" t="s">
        <v>167</v>
      </c>
      <c r="C164" s="68" t="s">
        <v>365</v>
      </c>
      <c r="D164" s="55">
        <v>18027</v>
      </c>
    </row>
    <row r="165" spans="1:4">
      <c r="A165" s="68">
        <v>149</v>
      </c>
      <c r="B165" s="75" t="s">
        <v>168</v>
      </c>
      <c r="C165" s="68" t="s">
        <v>365</v>
      </c>
      <c r="D165" s="55">
        <v>18027</v>
      </c>
    </row>
    <row r="166" spans="1:4">
      <c r="A166" s="68">
        <v>150</v>
      </c>
      <c r="B166" s="75" t="s">
        <v>169</v>
      </c>
      <c r="C166" s="68" t="s">
        <v>365</v>
      </c>
      <c r="D166" s="55">
        <v>4550</v>
      </c>
    </row>
    <row r="167" spans="1:4">
      <c r="A167" s="68">
        <v>151</v>
      </c>
      <c r="B167" s="75" t="s">
        <v>170</v>
      </c>
      <c r="C167" s="68" t="s">
        <v>365</v>
      </c>
      <c r="D167" s="55">
        <v>5310</v>
      </c>
    </row>
    <row r="168" spans="1:4">
      <c r="A168" s="68">
        <v>152</v>
      </c>
      <c r="B168" s="75" t="s">
        <v>171</v>
      </c>
      <c r="C168" s="68" t="s">
        <v>365</v>
      </c>
      <c r="D168" s="55">
        <v>1753</v>
      </c>
    </row>
    <row r="169" spans="1:4">
      <c r="A169" s="68">
        <v>153</v>
      </c>
      <c r="B169" s="75" t="s">
        <v>172</v>
      </c>
      <c r="C169" s="68" t="s">
        <v>365</v>
      </c>
      <c r="D169" s="55">
        <v>8484</v>
      </c>
    </row>
    <row r="170" spans="1:4">
      <c r="A170" s="68">
        <v>154</v>
      </c>
      <c r="B170" s="75" t="s">
        <v>173</v>
      </c>
      <c r="C170" s="68" t="s">
        <v>365</v>
      </c>
      <c r="D170" s="55">
        <v>2543</v>
      </c>
    </row>
    <row r="171" spans="1:4">
      <c r="A171" s="68">
        <v>155</v>
      </c>
      <c r="B171" s="75" t="s">
        <v>174</v>
      </c>
      <c r="C171" s="68" t="s">
        <v>365</v>
      </c>
      <c r="D171" s="55">
        <v>4283</v>
      </c>
    </row>
    <row r="172" spans="1:4">
      <c r="A172" s="68">
        <v>156</v>
      </c>
      <c r="B172" s="75" t="s">
        <v>175</v>
      </c>
      <c r="C172" s="68" t="s">
        <v>365</v>
      </c>
      <c r="D172" s="55">
        <v>4888</v>
      </c>
    </row>
    <row r="173" spans="1:4">
      <c r="A173" s="68">
        <v>157</v>
      </c>
      <c r="B173" s="75" t="s">
        <v>176</v>
      </c>
      <c r="C173" s="68" t="s">
        <v>365</v>
      </c>
      <c r="D173" s="55">
        <v>7289</v>
      </c>
    </row>
    <row r="174" spans="1:4">
      <c r="A174" s="68">
        <v>158</v>
      </c>
      <c r="B174" s="75" t="s">
        <v>177</v>
      </c>
      <c r="C174" s="68" t="s">
        <v>365</v>
      </c>
      <c r="D174" s="55">
        <v>7448</v>
      </c>
    </row>
    <row r="175" spans="1:4">
      <c r="A175" s="68">
        <v>159</v>
      </c>
      <c r="B175" s="75" t="s">
        <v>178</v>
      </c>
      <c r="C175" s="68" t="s">
        <v>365</v>
      </c>
      <c r="D175" s="55">
        <v>2248</v>
      </c>
    </row>
    <row r="176" spans="1:4">
      <c r="A176" s="68">
        <v>160</v>
      </c>
      <c r="B176" s="75" t="s">
        <v>179</v>
      </c>
      <c r="C176" s="68" t="s">
        <v>365</v>
      </c>
      <c r="D176" s="55">
        <v>1676</v>
      </c>
    </row>
    <row r="177" spans="1:4">
      <c r="A177" s="68">
        <v>161</v>
      </c>
      <c r="B177" s="75" t="s">
        <v>180</v>
      </c>
      <c r="C177" s="68" t="s">
        <v>365</v>
      </c>
      <c r="D177" s="55">
        <v>2262</v>
      </c>
    </row>
    <row r="178" spans="1:4">
      <c r="A178" s="68">
        <v>162</v>
      </c>
      <c r="B178" s="75" t="s">
        <v>181</v>
      </c>
      <c r="C178" s="68" t="s">
        <v>365</v>
      </c>
      <c r="D178" s="55">
        <v>2262</v>
      </c>
    </row>
    <row r="179" spans="1:4">
      <c r="A179" s="68">
        <v>163</v>
      </c>
      <c r="B179" s="75" t="s">
        <v>182</v>
      </c>
      <c r="C179" s="68" t="s">
        <v>365</v>
      </c>
      <c r="D179" s="55">
        <v>2262</v>
      </c>
    </row>
    <row r="180" spans="1:4">
      <c r="A180" s="68">
        <v>164</v>
      </c>
      <c r="B180" s="75" t="s">
        <v>183</v>
      </c>
      <c r="C180" s="68" t="s">
        <v>365</v>
      </c>
      <c r="D180" s="55">
        <v>1404</v>
      </c>
    </row>
    <row r="181" spans="1:4">
      <c r="A181" s="68">
        <v>165</v>
      </c>
      <c r="B181" s="75" t="s">
        <v>184</v>
      </c>
      <c r="C181" s="68" t="s">
        <v>365</v>
      </c>
      <c r="D181" s="55">
        <v>9625</v>
      </c>
    </row>
    <row r="182" spans="1:4">
      <c r="A182" s="68">
        <v>166</v>
      </c>
      <c r="B182" s="75" t="s">
        <v>185</v>
      </c>
      <c r="C182" s="68" t="s">
        <v>365</v>
      </c>
      <c r="D182" s="55">
        <v>14479</v>
      </c>
    </row>
    <row r="183" spans="1:4">
      <c r="A183" s="68">
        <v>167</v>
      </c>
      <c r="B183" s="75" t="s">
        <v>186</v>
      </c>
      <c r="C183" s="68" t="s">
        <v>365</v>
      </c>
      <c r="D183" s="55">
        <v>3870</v>
      </c>
    </row>
    <row r="184" spans="1:4">
      <c r="A184" s="68">
        <v>168</v>
      </c>
      <c r="B184" s="75" t="s">
        <v>187</v>
      </c>
      <c r="C184" s="68" t="s">
        <v>365</v>
      </c>
      <c r="D184" s="55">
        <v>25952</v>
      </c>
    </row>
    <row r="185" spans="1:4">
      <c r="A185" s="68">
        <v>169</v>
      </c>
      <c r="B185" s="75" t="s">
        <v>188</v>
      </c>
      <c r="C185" s="68" t="s">
        <v>365</v>
      </c>
      <c r="D185" s="55">
        <v>6693</v>
      </c>
    </row>
    <row r="186" spans="1:4">
      <c r="A186" s="68">
        <v>170</v>
      </c>
      <c r="B186" s="75" t="s">
        <v>189</v>
      </c>
      <c r="C186" s="68" t="s">
        <v>365</v>
      </c>
      <c r="D186" s="55">
        <v>12705</v>
      </c>
    </row>
    <row r="187" spans="1:4">
      <c r="A187" s="68">
        <v>171</v>
      </c>
      <c r="B187" s="75" t="s">
        <v>190</v>
      </c>
      <c r="C187" s="68" t="s">
        <v>365</v>
      </c>
      <c r="D187" s="55">
        <v>16204</v>
      </c>
    </row>
    <row r="188" spans="1:4">
      <c r="A188" s="68">
        <v>172</v>
      </c>
      <c r="B188" s="75" t="s">
        <v>191</v>
      </c>
      <c r="C188" s="68" t="s">
        <v>365</v>
      </c>
      <c r="D188" s="55">
        <v>3394</v>
      </c>
    </row>
    <row r="189" spans="1:4">
      <c r="A189" s="68">
        <v>173</v>
      </c>
      <c r="B189" s="75" t="s">
        <v>192</v>
      </c>
      <c r="C189" s="68" t="s">
        <v>365</v>
      </c>
      <c r="D189" s="55">
        <v>22884</v>
      </c>
    </row>
    <row r="190" spans="1:4">
      <c r="A190" s="68">
        <v>174</v>
      </c>
      <c r="B190" s="75" t="s">
        <v>193</v>
      </c>
      <c r="C190" s="68" t="s">
        <v>365</v>
      </c>
      <c r="D190" s="55">
        <v>9391</v>
      </c>
    </row>
    <row r="191" spans="1:4">
      <c r="A191" s="68">
        <v>175</v>
      </c>
      <c r="B191" s="75" t="s">
        <v>194</v>
      </c>
      <c r="C191" s="68" t="s">
        <v>365</v>
      </c>
      <c r="D191" s="55">
        <v>6237</v>
      </c>
    </row>
    <row r="192" spans="1:4">
      <c r="A192" s="68">
        <v>176</v>
      </c>
      <c r="B192" s="75" t="s">
        <v>195</v>
      </c>
      <c r="C192" s="68" t="s">
        <v>365</v>
      </c>
      <c r="D192" s="55">
        <v>2734</v>
      </c>
    </row>
    <row r="193" spans="1:4">
      <c r="A193" s="68">
        <v>177</v>
      </c>
      <c r="B193" s="75" t="s">
        <v>196</v>
      </c>
      <c r="C193" s="68" t="s">
        <v>365</v>
      </c>
      <c r="D193" s="55">
        <v>2089</v>
      </c>
    </row>
    <row r="194" spans="1:4">
      <c r="A194" s="68">
        <v>178</v>
      </c>
      <c r="B194" s="75" t="s">
        <v>197</v>
      </c>
      <c r="C194" s="68" t="s">
        <v>365</v>
      </c>
      <c r="D194" s="55">
        <v>2089</v>
      </c>
    </row>
    <row r="195" spans="1:4">
      <c r="A195" s="68">
        <v>179</v>
      </c>
      <c r="B195" s="75" t="s">
        <v>198</v>
      </c>
      <c r="C195" s="68" t="s">
        <v>365</v>
      </c>
      <c r="D195" s="55">
        <v>7761</v>
      </c>
    </row>
    <row r="196" spans="1:4">
      <c r="A196" s="68">
        <v>180</v>
      </c>
      <c r="B196" s="75" t="s">
        <v>199</v>
      </c>
      <c r="C196" s="68" t="s">
        <v>365</v>
      </c>
      <c r="D196" s="55">
        <v>4276</v>
      </c>
    </row>
    <row r="197" spans="1:4">
      <c r="A197" s="68">
        <v>181</v>
      </c>
      <c r="B197" s="75" t="s">
        <v>200</v>
      </c>
      <c r="C197" s="68" t="s">
        <v>365</v>
      </c>
      <c r="D197" s="55">
        <v>641</v>
      </c>
    </row>
    <row r="198" spans="1:4">
      <c r="A198" s="68">
        <v>182</v>
      </c>
      <c r="B198" s="75" t="s">
        <v>201</v>
      </c>
      <c r="C198" s="68" t="s">
        <v>365</v>
      </c>
      <c r="D198" s="55">
        <v>1182</v>
      </c>
    </row>
    <row r="199" spans="1:4">
      <c r="A199" s="68">
        <v>183</v>
      </c>
      <c r="B199" s="75" t="s">
        <v>202</v>
      </c>
      <c r="C199" s="68" t="s">
        <v>365</v>
      </c>
      <c r="D199" s="55">
        <v>1234</v>
      </c>
    </row>
    <row r="200" spans="1:4">
      <c r="A200" s="68">
        <v>184</v>
      </c>
      <c r="B200" s="75" t="s">
        <v>203</v>
      </c>
      <c r="C200" s="68" t="s">
        <v>365</v>
      </c>
      <c r="D200" s="55">
        <v>1300</v>
      </c>
    </row>
    <row r="201" spans="1:4">
      <c r="A201" s="68">
        <v>185</v>
      </c>
      <c r="B201" s="75" t="s">
        <v>204</v>
      </c>
      <c r="C201" s="68" t="s">
        <v>365</v>
      </c>
      <c r="D201" s="55">
        <v>3225</v>
      </c>
    </row>
    <row r="202" spans="1:4">
      <c r="A202" s="68">
        <v>186</v>
      </c>
      <c r="B202" s="75" t="s">
        <v>205</v>
      </c>
      <c r="C202" s="68" t="s">
        <v>365</v>
      </c>
      <c r="D202" s="55">
        <v>8400</v>
      </c>
    </row>
    <row r="203" spans="1:4">
      <c r="A203" s="68">
        <v>187</v>
      </c>
      <c r="B203" s="75" t="s">
        <v>206</v>
      </c>
      <c r="C203" s="68" t="s">
        <v>365</v>
      </c>
      <c r="D203" s="55">
        <v>3225</v>
      </c>
    </row>
    <row r="204" spans="1:4">
      <c r="A204" s="68">
        <v>188</v>
      </c>
      <c r="B204" s="75" t="s">
        <v>207</v>
      </c>
      <c r="C204" s="68" t="s">
        <v>365</v>
      </c>
      <c r="D204" s="55">
        <v>3846</v>
      </c>
    </row>
    <row r="205" spans="1:4">
      <c r="A205" s="68">
        <v>189</v>
      </c>
      <c r="B205" s="75" t="s">
        <v>208</v>
      </c>
      <c r="C205" s="68" t="s">
        <v>365</v>
      </c>
      <c r="D205" s="55">
        <v>1848</v>
      </c>
    </row>
    <row r="206" spans="1:4">
      <c r="A206" s="68">
        <v>190</v>
      </c>
      <c r="B206" s="75" t="s">
        <v>209</v>
      </c>
      <c r="C206" s="68" t="s">
        <v>365</v>
      </c>
      <c r="D206" s="55">
        <v>448</v>
      </c>
    </row>
    <row r="207" spans="1:4">
      <c r="A207" s="68">
        <v>191</v>
      </c>
      <c r="B207" s="75" t="s">
        <v>210</v>
      </c>
      <c r="C207" s="68" t="s">
        <v>365</v>
      </c>
      <c r="D207" s="55">
        <v>1044</v>
      </c>
    </row>
    <row r="208" spans="1:4">
      <c r="A208" s="68">
        <v>192</v>
      </c>
      <c r="B208" s="75" t="s">
        <v>211</v>
      </c>
      <c r="C208" s="68" t="s">
        <v>365</v>
      </c>
      <c r="D208" s="55">
        <v>1419</v>
      </c>
    </row>
    <row r="209" spans="1:4">
      <c r="A209" s="68">
        <v>193</v>
      </c>
      <c r="B209" s="75" t="s">
        <v>212</v>
      </c>
      <c r="C209" s="68" t="s">
        <v>365</v>
      </c>
      <c r="D209" s="55">
        <v>9502</v>
      </c>
    </row>
    <row r="210" spans="1:4">
      <c r="A210" s="68">
        <v>194</v>
      </c>
      <c r="B210" s="75" t="s">
        <v>213</v>
      </c>
      <c r="C210" s="68" t="s">
        <v>365</v>
      </c>
      <c r="D210" s="55">
        <v>12349</v>
      </c>
    </row>
    <row r="211" spans="1:4">
      <c r="A211" s="68">
        <v>195</v>
      </c>
      <c r="B211" s="75" t="s">
        <v>214</v>
      </c>
      <c r="C211" s="68" t="s">
        <v>365</v>
      </c>
      <c r="D211" s="55">
        <v>872</v>
      </c>
    </row>
    <row r="212" spans="1:4">
      <c r="A212" s="68">
        <v>196</v>
      </c>
      <c r="B212" s="75" t="s">
        <v>215</v>
      </c>
      <c r="C212" s="68" t="s">
        <v>365</v>
      </c>
      <c r="D212" s="55">
        <v>3207</v>
      </c>
    </row>
    <row r="213" spans="1:4">
      <c r="A213" s="68">
        <v>197</v>
      </c>
      <c r="B213" s="75" t="s">
        <v>216</v>
      </c>
      <c r="C213" s="68" t="s">
        <v>365</v>
      </c>
      <c r="D213" s="55">
        <v>38369</v>
      </c>
    </row>
    <row r="214" spans="1:4">
      <c r="A214" s="68">
        <v>198</v>
      </c>
      <c r="B214" s="75" t="s">
        <v>217</v>
      </c>
      <c r="C214" s="68" t="s">
        <v>365</v>
      </c>
      <c r="D214" s="55">
        <v>32679</v>
      </c>
    </row>
    <row r="215" spans="1:4">
      <c r="A215" s="68">
        <v>199</v>
      </c>
      <c r="B215" s="75" t="s">
        <v>218</v>
      </c>
      <c r="C215" s="68" t="s">
        <v>365</v>
      </c>
      <c r="D215" s="55">
        <v>17107</v>
      </c>
    </row>
    <row r="216" spans="1:4">
      <c r="A216" s="68">
        <v>200</v>
      </c>
      <c r="B216" s="75" t="s">
        <v>219</v>
      </c>
      <c r="C216" s="68" t="s">
        <v>365</v>
      </c>
      <c r="D216" s="55">
        <v>15325</v>
      </c>
    </row>
    <row r="217" spans="1:4">
      <c r="A217" s="68">
        <v>201</v>
      </c>
      <c r="B217" s="75" t="s">
        <v>220</v>
      </c>
      <c r="C217" s="68" t="s">
        <v>365</v>
      </c>
      <c r="D217" s="55">
        <v>2098</v>
      </c>
    </row>
    <row r="218" spans="1:4">
      <c r="A218" s="68">
        <v>202</v>
      </c>
      <c r="B218" s="75" t="s">
        <v>221</v>
      </c>
      <c r="C218" s="68" t="s">
        <v>365</v>
      </c>
      <c r="D218" s="55">
        <v>4233</v>
      </c>
    </row>
    <row r="219" spans="1:4">
      <c r="A219" s="68">
        <v>203</v>
      </c>
      <c r="B219" s="75" t="s">
        <v>222</v>
      </c>
      <c r="C219" s="68" t="s">
        <v>365</v>
      </c>
      <c r="D219" s="55">
        <v>7720</v>
      </c>
    </row>
    <row r="220" spans="1:4">
      <c r="A220" s="68">
        <v>204</v>
      </c>
      <c r="B220" s="75" t="s">
        <v>223</v>
      </c>
      <c r="C220" s="68" t="s">
        <v>365</v>
      </c>
      <c r="D220" s="55">
        <v>5956</v>
      </c>
    </row>
    <row r="221" spans="1:4">
      <c r="A221" s="68">
        <v>205</v>
      </c>
      <c r="B221" s="75" t="s">
        <v>224</v>
      </c>
      <c r="C221" s="68" t="s">
        <v>365</v>
      </c>
      <c r="D221" s="55">
        <v>2052</v>
      </c>
    </row>
    <row r="222" spans="1:4">
      <c r="A222" s="68">
        <v>206</v>
      </c>
      <c r="B222" s="75" t="s">
        <v>225</v>
      </c>
      <c r="C222" s="68" t="s">
        <v>365</v>
      </c>
      <c r="D222" s="55">
        <v>2569</v>
      </c>
    </row>
    <row r="223" spans="1:4">
      <c r="A223" s="68">
        <v>207</v>
      </c>
      <c r="B223" s="75" t="s">
        <v>226</v>
      </c>
      <c r="C223" s="68" t="s">
        <v>365</v>
      </c>
      <c r="D223" s="55">
        <v>1365</v>
      </c>
    </row>
    <row r="224" spans="1:4" ht="27">
      <c r="A224" s="68">
        <v>208</v>
      </c>
      <c r="B224" s="75" t="s">
        <v>227</v>
      </c>
      <c r="C224" s="68" t="s">
        <v>366</v>
      </c>
      <c r="D224" s="55">
        <v>1911</v>
      </c>
    </row>
    <row r="225" spans="1:4">
      <c r="A225" s="68">
        <v>209</v>
      </c>
      <c r="B225" s="75" t="s">
        <v>227</v>
      </c>
      <c r="C225" s="68" t="s">
        <v>365</v>
      </c>
      <c r="D225" s="55">
        <v>15322</v>
      </c>
    </row>
    <row r="226" spans="1:4" ht="27">
      <c r="A226" s="68">
        <v>210</v>
      </c>
      <c r="B226" s="75" t="s">
        <v>228</v>
      </c>
      <c r="C226" s="68" t="s">
        <v>366</v>
      </c>
      <c r="D226" s="55">
        <v>226</v>
      </c>
    </row>
    <row r="227" spans="1:4">
      <c r="A227" s="68">
        <v>211</v>
      </c>
      <c r="B227" s="75" t="s">
        <v>228</v>
      </c>
      <c r="C227" s="68" t="s">
        <v>365</v>
      </c>
      <c r="D227" s="55">
        <v>1540</v>
      </c>
    </row>
    <row r="228" spans="1:4" ht="27">
      <c r="A228" s="68">
        <v>212</v>
      </c>
      <c r="B228" s="75" t="s">
        <v>229</v>
      </c>
      <c r="C228" s="68" t="s">
        <v>366</v>
      </c>
      <c r="D228" s="55">
        <v>226</v>
      </c>
    </row>
    <row r="229" spans="1:4">
      <c r="A229" s="68">
        <v>213</v>
      </c>
      <c r="B229" s="75" t="s">
        <v>229</v>
      </c>
      <c r="C229" s="68" t="s">
        <v>365</v>
      </c>
      <c r="D229" s="55">
        <v>2292</v>
      </c>
    </row>
    <row r="230" spans="1:4">
      <c r="A230" s="68">
        <v>214</v>
      </c>
      <c r="B230" s="75" t="s">
        <v>230</v>
      </c>
      <c r="C230" s="68" t="s">
        <v>365</v>
      </c>
      <c r="D230" s="55">
        <v>1984</v>
      </c>
    </row>
    <row r="231" spans="1:4">
      <c r="A231" s="68">
        <v>215</v>
      </c>
      <c r="B231" s="75" t="s">
        <v>231</v>
      </c>
      <c r="C231" s="68" t="s">
        <v>365</v>
      </c>
      <c r="D231" s="55">
        <v>1984</v>
      </c>
    </row>
    <row r="232" spans="1:4">
      <c r="A232" s="68">
        <v>216</v>
      </c>
      <c r="B232" s="75" t="s">
        <v>232</v>
      </c>
      <c r="C232" s="68" t="s">
        <v>365</v>
      </c>
      <c r="D232" s="55">
        <v>1155</v>
      </c>
    </row>
    <row r="233" spans="1:4">
      <c r="A233" s="68">
        <v>217</v>
      </c>
      <c r="B233" s="75" t="s">
        <v>233</v>
      </c>
      <c r="C233" s="68" t="s">
        <v>365</v>
      </c>
      <c r="D233" s="55">
        <v>1437</v>
      </c>
    </row>
    <row r="234" spans="1:4" ht="27">
      <c r="A234" s="68">
        <v>218</v>
      </c>
      <c r="B234" s="75" t="s">
        <v>234</v>
      </c>
      <c r="C234" s="68" t="s">
        <v>366</v>
      </c>
      <c r="D234" s="55">
        <v>679</v>
      </c>
    </row>
    <row r="235" spans="1:4">
      <c r="A235" s="68">
        <v>219</v>
      </c>
      <c r="B235" s="75" t="s">
        <v>234</v>
      </c>
      <c r="C235" s="68" t="s">
        <v>365</v>
      </c>
      <c r="D235" s="55">
        <v>6930</v>
      </c>
    </row>
    <row r="236" spans="1:4" ht="27">
      <c r="A236" s="68">
        <v>220</v>
      </c>
      <c r="B236" s="75" t="s">
        <v>235</v>
      </c>
      <c r="C236" s="68" t="s">
        <v>366</v>
      </c>
      <c r="D236" s="55">
        <v>579</v>
      </c>
    </row>
    <row r="237" spans="1:4">
      <c r="A237" s="68">
        <v>221</v>
      </c>
      <c r="B237" s="75" t="s">
        <v>235</v>
      </c>
      <c r="C237" s="68" t="s">
        <v>365</v>
      </c>
      <c r="D237" s="55">
        <v>5390</v>
      </c>
    </row>
    <row r="238" spans="1:4" ht="27">
      <c r="A238" s="68">
        <v>222</v>
      </c>
      <c r="B238" s="75" t="s">
        <v>236</v>
      </c>
      <c r="C238" s="68" t="s">
        <v>366</v>
      </c>
      <c r="D238" s="55">
        <v>499</v>
      </c>
    </row>
    <row r="239" spans="1:4">
      <c r="A239" s="68">
        <v>223</v>
      </c>
      <c r="B239" s="75" t="s">
        <v>236</v>
      </c>
      <c r="C239" s="68" t="s">
        <v>365</v>
      </c>
      <c r="D239" s="55">
        <v>5390</v>
      </c>
    </row>
    <row r="240" spans="1:4" ht="27">
      <c r="A240" s="68">
        <v>224</v>
      </c>
      <c r="B240" s="75" t="s">
        <v>237</v>
      </c>
      <c r="C240" s="68" t="s">
        <v>366</v>
      </c>
      <c r="D240" s="55">
        <v>607</v>
      </c>
    </row>
    <row r="241" spans="1:4">
      <c r="A241" s="68">
        <v>225</v>
      </c>
      <c r="B241" s="75" t="s">
        <v>237</v>
      </c>
      <c r="C241" s="68" t="s">
        <v>365</v>
      </c>
      <c r="D241" s="55">
        <v>5389</v>
      </c>
    </row>
    <row r="242" spans="1:4" ht="27">
      <c r="A242" s="68">
        <v>226</v>
      </c>
      <c r="B242" s="75" t="s">
        <v>238</v>
      </c>
      <c r="C242" s="68" t="s">
        <v>366</v>
      </c>
      <c r="D242" s="55">
        <v>679</v>
      </c>
    </row>
    <row r="243" spans="1:4">
      <c r="A243" s="68">
        <v>227</v>
      </c>
      <c r="B243" s="75" t="s">
        <v>238</v>
      </c>
      <c r="C243" s="68" t="s">
        <v>365</v>
      </c>
      <c r="D243" s="55">
        <v>4620</v>
      </c>
    </row>
    <row r="244" spans="1:4" ht="27">
      <c r="A244" s="68">
        <v>228</v>
      </c>
      <c r="B244" s="75" t="s">
        <v>239</v>
      </c>
      <c r="C244" s="68" t="s">
        <v>366</v>
      </c>
      <c r="D244" s="55">
        <v>495</v>
      </c>
    </row>
    <row r="245" spans="1:4">
      <c r="A245" s="68">
        <v>229</v>
      </c>
      <c r="B245" s="75" t="s">
        <v>239</v>
      </c>
      <c r="C245" s="68" t="s">
        <v>365</v>
      </c>
      <c r="D245" s="55">
        <v>3851</v>
      </c>
    </row>
    <row r="246" spans="1:4">
      <c r="A246" s="68">
        <v>230</v>
      </c>
      <c r="B246" s="75" t="s">
        <v>240</v>
      </c>
      <c r="C246" s="68" t="s">
        <v>365</v>
      </c>
      <c r="D246" s="55">
        <v>5343</v>
      </c>
    </row>
    <row r="247" spans="1:4" ht="27">
      <c r="A247" s="68">
        <v>231</v>
      </c>
      <c r="B247" s="75" t="s">
        <v>241</v>
      </c>
      <c r="C247" s="68" t="s">
        <v>366</v>
      </c>
      <c r="D247" s="55">
        <v>911</v>
      </c>
    </row>
    <row r="248" spans="1:4">
      <c r="A248" s="68">
        <v>232</v>
      </c>
      <c r="B248" s="75" t="s">
        <v>241</v>
      </c>
      <c r="C248" s="68" t="s">
        <v>365</v>
      </c>
      <c r="D248" s="55">
        <v>9932</v>
      </c>
    </row>
    <row r="249" spans="1:4" ht="27">
      <c r="A249" s="68">
        <v>233</v>
      </c>
      <c r="B249" s="75" t="s">
        <v>242</v>
      </c>
      <c r="C249" s="68" t="s">
        <v>366</v>
      </c>
      <c r="D249" s="55">
        <v>4236</v>
      </c>
    </row>
    <row r="250" spans="1:4">
      <c r="A250" s="68">
        <v>234</v>
      </c>
      <c r="B250" s="75" t="s">
        <v>242</v>
      </c>
      <c r="C250" s="68" t="s">
        <v>365</v>
      </c>
      <c r="D250" s="55">
        <v>46198</v>
      </c>
    </row>
    <row r="251" spans="1:4" ht="27">
      <c r="A251" s="68">
        <v>235</v>
      </c>
      <c r="B251" s="75" t="s">
        <v>243</v>
      </c>
      <c r="C251" s="68" t="s">
        <v>366</v>
      </c>
      <c r="D251" s="55">
        <v>4378</v>
      </c>
    </row>
    <row r="252" spans="1:4">
      <c r="A252" s="68">
        <v>236</v>
      </c>
      <c r="B252" s="75" t="s">
        <v>243</v>
      </c>
      <c r="C252" s="68" t="s">
        <v>365</v>
      </c>
      <c r="D252" s="55">
        <v>4911</v>
      </c>
    </row>
    <row r="253" spans="1:4">
      <c r="A253" s="68">
        <v>237</v>
      </c>
      <c r="B253" s="75" t="s">
        <v>244</v>
      </c>
      <c r="C253" s="68" t="s">
        <v>365</v>
      </c>
      <c r="D253" s="55">
        <v>575</v>
      </c>
    </row>
    <row r="254" spans="1:4">
      <c r="A254" s="68">
        <v>238</v>
      </c>
      <c r="B254" s="75" t="s">
        <v>245</v>
      </c>
      <c r="C254" s="68" t="s">
        <v>365</v>
      </c>
      <c r="D254" s="55">
        <v>647</v>
      </c>
    </row>
    <row r="255" spans="1:4" ht="27">
      <c r="A255" s="68">
        <v>239</v>
      </c>
      <c r="B255" s="75" t="s">
        <v>246</v>
      </c>
      <c r="C255" s="68" t="s">
        <v>366</v>
      </c>
      <c r="D255" s="55">
        <v>692</v>
      </c>
    </row>
    <row r="256" spans="1:4">
      <c r="A256" s="68">
        <v>240</v>
      </c>
      <c r="B256" s="75" t="s">
        <v>246</v>
      </c>
      <c r="C256" s="68" t="s">
        <v>365</v>
      </c>
      <c r="D256" s="55">
        <v>862</v>
      </c>
    </row>
    <row r="257" spans="1:4">
      <c r="A257" s="68">
        <v>241</v>
      </c>
      <c r="B257" s="75" t="s">
        <v>247</v>
      </c>
      <c r="C257" s="68" t="s">
        <v>365</v>
      </c>
      <c r="D257" s="55">
        <v>6913</v>
      </c>
    </row>
    <row r="258" spans="1:4">
      <c r="A258" s="68">
        <v>242</v>
      </c>
      <c r="B258" s="75" t="s">
        <v>248</v>
      </c>
      <c r="C258" s="68" t="s">
        <v>365</v>
      </c>
      <c r="D258" s="55">
        <v>447</v>
      </c>
    </row>
    <row r="259" spans="1:4">
      <c r="A259" s="68">
        <v>243</v>
      </c>
      <c r="B259" s="75" t="s">
        <v>249</v>
      </c>
      <c r="C259" s="68" t="s">
        <v>365</v>
      </c>
      <c r="D259" s="55">
        <v>114</v>
      </c>
    </row>
    <row r="260" spans="1:4">
      <c r="A260" s="68">
        <v>244</v>
      </c>
      <c r="B260" s="75" t="s">
        <v>250</v>
      </c>
      <c r="C260" s="68" t="s">
        <v>365</v>
      </c>
      <c r="D260" s="55">
        <v>5882</v>
      </c>
    </row>
    <row r="261" spans="1:4">
      <c r="A261" s="68">
        <v>245</v>
      </c>
      <c r="B261" s="75" t="s">
        <v>251</v>
      </c>
      <c r="C261" s="68" t="s">
        <v>365</v>
      </c>
      <c r="D261" s="55">
        <v>7700</v>
      </c>
    </row>
    <row r="262" spans="1:4">
      <c r="A262" s="68">
        <v>246</v>
      </c>
      <c r="B262" s="75" t="s">
        <v>252</v>
      </c>
      <c r="C262" s="68" t="s">
        <v>365</v>
      </c>
      <c r="D262" s="55">
        <v>3966</v>
      </c>
    </row>
    <row r="263" spans="1:4">
      <c r="A263" s="68">
        <v>247</v>
      </c>
      <c r="B263" s="75" t="s">
        <v>253</v>
      </c>
      <c r="C263" s="68" t="s">
        <v>365</v>
      </c>
      <c r="D263" s="55">
        <v>7700</v>
      </c>
    </row>
    <row r="264" spans="1:4" ht="27">
      <c r="A264" s="68">
        <v>248</v>
      </c>
      <c r="B264" s="75" t="s">
        <v>254</v>
      </c>
      <c r="C264" s="68" t="s">
        <v>366</v>
      </c>
      <c r="D264" s="55">
        <v>436</v>
      </c>
    </row>
    <row r="265" spans="1:4">
      <c r="A265" s="68">
        <v>249</v>
      </c>
      <c r="B265" s="75" t="s">
        <v>254</v>
      </c>
      <c r="C265" s="68" t="s">
        <v>365</v>
      </c>
      <c r="D265" s="55">
        <v>4237</v>
      </c>
    </row>
    <row r="266" spans="1:4">
      <c r="A266" s="68">
        <v>250</v>
      </c>
      <c r="B266" s="75" t="s">
        <v>255</v>
      </c>
      <c r="C266" s="68" t="s">
        <v>365</v>
      </c>
      <c r="D266" s="55">
        <v>147</v>
      </c>
    </row>
    <row r="267" spans="1:4">
      <c r="A267" s="68">
        <v>251</v>
      </c>
      <c r="B267" s="75" t="s">
        <v>256</v>
      </c>
      <c r="C267" s="68" t="s">
        <v>365</v>
      </c>
      <c r="D267" s="55">
        <v>165</v>
      </c>
    </row>
    <row r="268" spans="1:4" ht="27">
      <c r="A268" s="68">
        <v>252</v>
      </c>
      <c r="B268" s="75" t="s">
        <v>239</v>
      </c>
      <c r="C268" s="68" t="s">
        <v>366</v>
      </c>
      <c r="D268" s="55">
        <v>367</v>
      </c>
    </row>
    <row r="269" spans="1:4">
      <c r="A269" s="68">
        <v>253</v>
      </c>
      <c r="B269" s="75" t="s">
        <v>239</v>
      </c>
      <c r="C269" s="68" t="s">
        <v>365</v>
      </c>
      <c r="D269" s="55">
        <v>626</v>
      </c>
    </row>
    <row r="270" spans="1:4" ht="27">
      <c r="A270" s="68">
        <v>254</v>
      </c>
      <c r="B270" s="75" t="s">
        <v>257</v>
      </c>
      <c r="C270" s="68" t="s">
        <v>366</v>
      </c>
      <c r="D270" s="55">
        <v>551</v>
      </c>
    </row>
    <row r="271" spans="1:4">
      <c r="A271" s="68">
        <v>255</v>
      </c>
      <c r="B271" s="75" t="s">
        <v>257</v>
      </c>
      <c r="C271" s="68" t="s">
        <v>365</v>
      </c>
      <c r="D271" s="55">
        <v>551</v>
      </c>
    </row>
    <row r="272" spans="1:4" ht="27">
      <c r="A272" s="68">
        <v>256</v>
      </c>
      <c r="B272" s="75" t="s">
        <v>258</v>
      </c>
      <c r="C272" s="68" t="s">
        <v>366</v>
      </c>
      <c r="D272" s="55">
        <v>6405</v>
      </c>
    </row>
    <row r="273" spans="1:4">
      <c r="A273" s="68">
        <v>257</v>
      </c>
      <c r="B273" s="75" t="s">
        <v>258</v>
      </c>
      <c r="C273" s="68" t="s">
        <v>365</v>
      </c>
      <c r="D273" s="55">
        <v>6561</v>
      </c>
    </row>
    <row r="274" spans="1:4" ht="27">
      <c r="A274" s="68">
        <v>258</v>
      </c>
      <c r="B274" s="75" t="s">
        <v>242</v>
      </c>
      <c r="C274" s="68" t="s">
        <v>366</v>
      </c>
      <c r="D274" s="55">
        <v>4236</v>
      </c>
    </row>
    <row r="275" spans="1:4">
      <c r="A275" s="68">
        <v>259</v>
      </c>
      <c r="B275" s="75" t="s">
        <v>242</v>
      </c>
      <c r="C275" s="68" t="s">
        <v>365</v>
      </c>
      <c r="D275" s="55">
        <v>12361</v>
      </c>
    </row>
    <row r="276" spans="1:4" ht="27">
      <c r="A276" s="68">
        <v>260</v>
      </c>
      <c r="B276" s="75" t="s">
        <v>243</v>
      </c>
      <c r="C276" s="68" t="s">
        <v>366</v>
      </c>
      <c r="D276" s="55">
        <v>4378</v>
      </c>
    </row>
    <row r="277" spans="1:4">
      <c r="A277" s="68">
        <v>261</v>
      </c>
      <c r="B277" s="75" t="s">
        <v>243</v>
      </c>
      <c r="C277" s="68" t="s">
        <v>365</v>
      </c>
      <c r="D277" s="55">
        <v>6180</v>
      </c>
    </row>
    <row r="278" spans="1:4" ht="27">
      <c r="A278" s="68">
        <v>262</v>
      </c>
      <c r="B278" s="75" t="s">
        <v>259</v>
      </c>
      <c r="C278" s="68" t="s">
        <v>366</v>
      </c>
      <c r="D278" s="55">
        <v>345</v>
      </c>
    </row>
    <row r="279" spans="1:4">
      <c r="A279" s="68">
        <v>263</v>
      </c>
      <c r="B279" s="75" t="s">
        <v>259</v>
      </c>
      <c r="C279" s="68" t="s">
        <v>365</v>
      </c>
      <c r="D279" s="55">
        <v>385</v>
      </c>
    </row>
    <row r="280" spans="1:4" ht="27">
      <c r="A280" s="68">
        <v>264</v>
      </c>
      <c r="B280" s="75" t="s">
        <v>260</v>
      </c>
      <c r="C280" s="68" t="s">
        <v>366</v>
      </c>
      <c r="D280" s="55">
        <v>613</v>
      </c>
    </row>
    <row r="281" spans="1:4">
      <c r="A281" s="68">
        <v>265</v>
      </c>
      <c r="B281" s="75" t="s">
        <v>260</v>
      </c>
      <c r="C281" s="68" t="s">
        <v>365</v>
      </c>
      <c r="D281" s="55">
        <v>613</v>
      </c>
    </row>
    <row r="282" spans="1:4" ht="27">
      <c r="A282" s="68">
        <v>266</v>
      </c>
      <c r="B282" s="75" t="s">
        <v>261</v>
      </c>
      <c r="C282" s="68" t="s">
        <v>366</v>
      </c>
      <c r="D282" s="55">
        <v>1102</v>
      </c>
    </row>
    <row r="283" spans="1:4">
      <c r="A283" s="68">
        <v>267</v>
      </c>
      <c r="B283" s="75" t="s">
        <v>261</v>
      </c>
      <c r="C283" s="68" t="s">
        <v>365</v>
      </c>
      <c r="D283" s="55">
        <v>1102</v>
      </c>
    </row>
    <row r="284" spans="1:4" ht="27">
      <c r="A284" s="68">
        <v>268</v>
      </c>
      <c r="B284" s="75" t="s">
        <v>262</v>
      </c>
      <c r="C284" s="68" t="s">
        <v>366</v>
      </c>
      <c r="D284" s="55">
        <v>297</v>
      </c>
    </row>
    <row r="285" spans="1:4">
      <c r="A285" s="68">
        <v>269</v>
      </c>
      <c r="B285" s="75" t="s">
        <v>262</v>
      </c>
      <c r="C285" s="68" t="s">
        <v>365</v>
      </c>
      <c r="D285" s="55">
        <v>297</v>
      </c>
    </row>
    <row r="286" spans="1:4" ht="27">
      <c r="A286" s="68">
        <v>270</v>
      </c>
      <c r="B286" s="75" t="s">
        <v>263</v>
      </c>
      <c r="C286" s="68" t="s">
        <v>366</v>
      </c>
      <c r="D286" s="55">
        <v>230</v>
      </c>
    </row>
    <row r="287" spans="1:4">
      <c r="A287" s="68">
        <v>271</v>
      </c>
      <c r="B287" s="75" t="s">
        <v>263</v>
      </c>
      <c r="C287" s="68" t="s">
        <v>365</v>
      </c>
      <c r="D287" s="55">
        <v>230</v>
      </c>
    </row>
    <row r="288" spans="1:4" ht="27">
      <c r="A288" s="68">
        <v>272</v>
      </c>
      <c r="B288" s="75" t="s">
        <v>264</v>
      </c>
      <c r="C288" s="68" t="s">
        <v>366</v>
      </c>
      <c r="D288" s="55">
        <v>749</v>
      </c>
    </row>
    <row r="289" spans="1:4">
      <c r="A289" s="68">
        <v>273</v>
      </c>
      <c r="B289" s="75" t="s">
        <v>264</v>
      </c>
      <c r="C289" s="68" t="s">
        <v>365</v>
      </c>
      <c r="D289" s="55">
        <v>791</v>
      </c>
    </row>
    <row r="290" spans="1:4" ht="27">
      <c r="A290" s="68">
        <v>274</v>
      </c>
      <c r="B290" s="75" t="s">
        <v>265</v>
      </c>
      <c r="C290" s="68" t="s">
        <v>366</v>
      </c>
      <c r="D290" s="55">
        <v>1273</v>
      </c>
    </row>
    <row r="291" spans="1:4">
      <c r="A291" s="68">
        <v>275</v>
      </c>
      <c r="B291" s="75" t="s">
        <v>265</v>
      </c>
      <c r="C291" s="68" t="s">
        <v>365</v>
      </c>
      <c r="D291" s="55">
        <v>1341</v>
      </c>
    </row>
    <row r="292" spans="1:4" ht="27">
      <c r="A292" s="68">
        <v>276</v>
      </c>
      <c r="B292" s="75" t="s">
        <v>266</v>
      </c>
      <c r="C292" s="68" t="s">
        <v>366</v>
      </c>
      <c r="D292" s="55">
        <v>1725</v>
      </c>
    </row>
    <row r="293" spans="1:4">
      <c r="A293" s="68">
        <v>277</v>
      </c>
      <c r="B293" s="75" t="s">
        <v>266</v>
      </c>
      <c r="C293" s="68" t="s">
        <v>365</v>
      </c>
      <c r="D293" s="55">
        <v>1725</v>
      </c>
    </row>
    <row r="294" spans="1:4" ht="27">
      <c r="A294" s="68">
        <v>278</v>
      </c>
      <c r="B294" s="75" t="s">
        <v>267</v>
      </c>
      <c r="C294" s="68" t="s">
        <v>366</v>
      </c>
      <c r="D294" s="55">
        <v>1341</v>
      </c>
    </row>
    <row r="295" spans="1:4">
      <c r="A295" s="68">
        <v>279</v>
      </c>
      <c r="B295" s="75" t="s">
        <v>267</v>
      </c>
      <c r="C295" s="68" t="s">
        <v>365</v>
      </c>
      <c r="D295" s="55">
        <v>1341</v>
      </c>
    </row>
    <row r="296" spans="1:4">
      <c r="A296" s="68">
        <v>280</v>
      </c>
      <c r="B296" s="75" t="s">
        <v>268</v>
      </c>
      <c r="C296" s="68" t="s">
        <v>365</v>
      </c>
      <c r="D296" s="55">
        <v>2295</v>
      </c>
    </row>
    <row r="297" spans="1:4" ht="27">
      <c r="A297" s="68">
        <v>281</v>
      </c>
      <c r="B297" s="75" t="s">
        <v>269</v>
      </c>
      <c r="C297" s="68" t="s">
        <v>366</v>
      </c>
      <c r="D297" s="55">
        <v>8478</v>
      </c>
    </row>
    <row r="298" spans="1:4">
      <c r="A298" s="68">
        <v>282</v>
      </c>
      <c r="B298" s="75" t="s">
        <v>269</v>
      </c>
      <c r="C298" s="68" t="s">
        <v>365</v>
      </c>
      <c r="D298" s="55">
        <v>11374</v>
      </c>
    </row>
    <row r="299" spans="1:4" ht="27">
      <c r="A299" s="68">
        <v>283</v>
      </c>
      <c r="B299" s="75" t="s">
        <v>270</v>
      </c>
      <c r="C299" s="68" t="s">
        <v>366</v>
      </c>
      <c r="D299" s="55">
        <v>12132</v>
      </c>
    </row>
    <row r="300" spans="1:4">
      <c r="A300" s="68">
        <v>284</v>
      </c>
      <c r="B300" s="75" t="s">
        <v>270</v>
      </c>
      <c r="C300" s="68" t="s">
        <v>365</v>
      </c>
      <c r="D300" s="55">
        <v>12132</v>
      </c>
    </row>
    <row r="301" spans="1:4" ht="27">
      <c r="A301" s="68">
        <v>285</v>
      </c>
      <c r="B301" s="75" t="s">
        <v>271</v>
      </c>
      <c r="C301" s="68" t="s">
        <v>366</v>
      </c>
      <c r="D301" s="55">
        <v>24865</v>
      </c>
    </row>
    <row r="302" spans="1:4">
      <c r="A302" s="68">
        <v>286</v>
      </c>
      <c r="B302" s="75" t="s">
        <v>271</v>
      </c>
      <c r="C302" s="68" t="s">
        <v>365</v>
      </c>
      <c r="D302" s="55">
        <v>24865</v>
      </c>
    </row>
    <row r="303" spans="1:4" ht="27">
      <c r="A303" s="68">
        <v>287</v>
      </c>
      <c r="B303" s="75" t="s">
        <v>272</v>
      </c>
      <c r="C303" s="68" t="s">
        <v>366</v>
      </c>
      <c r="D303" s="55">
        <v>23677</v>
      </c>
    </row>
    <row r="304" spans="1:4">
      <c r="A304" s="68">
        <v>288</v>
      </c>
      <c r="B304" s="75" t="s">
        <v>272</v>
      </c>
      <c r="C304" s="68" t="s">
        <v>365</v>
      </c>
      <c r="D304" s="55">
        <v>23677</v>
      </c>
    </row>
    <row r="305" spans="1:4" ht="27">
      <c r="A305" s="68">
        <v>289</v>
      </c>
      <c r="B305" s="75" t="s">
        <v>273</v>
      </c>
      <c r="C305" s="68" t="s">
        <v>366</v>
      </c>
      <c r="D305" s="55">
        <v>2710</v>
      </c>
    </row>
    <row r="306" spans="1:4">
      <c r="A306" s="68">
        <v>290</v>
      </c>
      <c r="B306" s="75" t="s">
        <v>273</v>
      </c>
      <c r="C306" s="68" t="s">
        <v>365</v>
      </c>
      <c r="D306" s="55">
        <v>2710</v>
      </c>
    </row>
    <row r="307" spans="1:4" ht="27">
      <c r="A307" s="68">
        <v>291</v>
      </c>
      <c r="B307" s="75" t="s">
        <v>274</v>
      </c>
      <c r="C307" s="68" t="s">
        <v>366</v>
      </c>
      <c r="D307" s="55">
        <v>5317</v>
      </c>
    </row>
    <row r="308" spans="1:4">
      <c r="A308" s="68">
        <v>292</v>
      </c>
      <c r="B308" s="75" t="s">
        <v>274</v>
      </c>
      <c r="C308" s="68" t="s">
        <v>365</v>
      </c>
      <c r="D308" s="55">
        <v>6421</v>
      </c>
    </row>
    <row r="309" spans="1:4" ht="27">
      <c r="A309" s="68">
        <v>293</v>
      </c>
      <c r="B309" s="75" t="s">
        <v>275</v>
      </c>
      <c r="C309" s="68" t="s">
        <v>366</v>
      </c>
      <c r="D309" s="55">
        <v>6493</v>
      </c>
    </row>
    <row r="310" spans="1:4">
      <c r="A310" s="68">
        <v>294</v>
      </c>
      <c r="B310" s="75" t="s">
        <v>275</v>
      </c>
      <c r="C310" s="68" t="s">
        <v>365</v>
      </c>
      <c r="D310" s="55">
        <v>12529</v>
      </c>
    </row>
    <row r="311" spans="1:4" ht="27">
      <c r="A311" s="68">
        <v>295</v>
      </c>
      <c r="B311" s="75" t="s">
        <v>276</v>
      </c>
      <c r="C311" s="68" t="s">
        <v>366</v>
      </c>
      <c r="D311" s="55">
        <v>9502</v>
      </c>
    </row>
    <row r="312" spans="1:4">
      <c r="A312" s="68">
        <v>296</v>
      </c>
      <c r="B312" s="75" t="s">
        <v>276</v>
      </c>
      <c r="C312" s="68" t="s">
        <v>365</v>
      </c>
      <c r="D312" s="55">
        <v>20357</v>
      </c>
    </row>
    <row r="313" spans="1:4" ht="27">
      <c r="A313" s="68">
        <v>297</v>
      </c>
      <c r="B313" s="75" t="s">
        <v>277</v>
      </c>
      <c r="C313" s="68" t="s">
        <v>366</v>
      </c>
      <c r="D313" s="55">
        <v>8240</v>
      </c>
    </row>
    <row r="314" spans="1:4">
      <c r="A314" s="68">
        <v>298</v>
      </c>
      <c r="B314" s="75" t="s">
        <v>277</v>
      </c>
      <c r="C314" s="68" t="s">
        <v>365</v>
      </c>
      <c r="D314" s="55">
        <v>20991</v>
      </c>
    </row>
    <row r="315" spans="1:4" ht="27">
      <c r="A315" s="68">
        <v>299</v>
      </c>
      <c r="B315" s="75" t="s">
        <v>278</v>
      </c>
      <c r="C315" s="68" t="s">
        <v>366</v>
      </c>
      <c r="D315" s="55">
        <v>2715</v>
      </c>
    </row>
    <row r="316" spans="1:4">
      <c r="A316" s="68">
        <v>300</v>
      </c>
      <c r="B316" s="75" t="s">
        <v>278</v>
      </c>
      <c r="C316" s="68" t="s">
        <v>365</v>
      </c>
      <c r="D316" s="55">
        <v>4439</v>
      </c>
    </row>
    <row r="317" spans="1:4" ht="27">
      <c r="A317" s="68">
        <v>301</v>
      </c>
      <c r="B317" s="75" t="s">
        <v>279</v>
      </c>
      <c r="C317" s="68" t="s">
        <v>366</v>
      </c>
      <c r="D317" s="55">
        <v>3280</v>
      </c>
    </row>
    <row r="318" spans="1:4">
      <c r="A318" s="68">
        <v>302</v>
      </c>
      <c r="B318" s="75" t="s">
        <v>279</v>
      </c>
      <c r="C318" s="68" t="s">
        <v>365</v>
      </c>
      <c r="D318" s="55">
        <v>6023</v>
      </c>
    </row>
    <row r="319" spans="1:4" ht="27">
      <c r="A319" s="68">
        <v>303</v>
      </c>
      <c r="B319" s="75" t="s">
        <v>280</v>
      </c>
      <c r="C319" s="68" t="s">
        <v>366</v>
      </c>
      <c r="D319" s="55">
        <v>9190</v>
      </c>
    </row>
    <row r="320" spans="1:4">
      <c r="A320" s="68">
        <v>304</v>
      </c>
      <c r="B320" s="75" t="s">
        <v>280</v>
      </c>
      <c r="C320" s="68" t="s">
        <v>365</v>
      </c>
      <c r="D320" s="55">
        <v>9190</v>
      </c>
    </row>
    <row r="321" spans="1:4">
      <c r="A321" s="68">
        <v>305</v>
      </c>
      <c r="B321" s="75" t="s">
        <v>281</v>
      </c>
      <c r="C321" s="68" t="s">
        <v>365</v>
      </c>
      <c r="D321" s="55">
        <v>1385</v>
      </c>
    </row>
    <row r="322" spans="1:4">
      <c r="A322" s="68">
        <v>306</v>
      </c>
      <c r="B322" s="75" t="s">
        <v>282</v>
      </c>
      <c r="C322" s="68" t="s">
        <v>365</v>
      </c>
      <c r="D322" s="55">
        <v>1385</v>
      </c>
    </row>
    <row r="323" spans="1:4">
      <c r="A323" s="68">
        <v>307</v>
      </c>
      <c r="B323" s="75" t="s">
        <v>283</v>
      </c>
      <c r="C323" s="68" t="s">
        <v>365</v>
      </c>
      <c r="D323" s="55">
        <v>1385</v>
      </c>
    </row>
    <row r="324" spans="1:4">
      <c r="A324" s="68">
        <v>308</v>
      </c>
      <c r="B324" s="75" t="s">
        <v>284</v>
      </c>
      <c r="C324" s="68" t="s">
        <v>365</v>
      </c>
      <c r="D324" s="55">
        <v>1385</v>
      </c>
    </row>
    <row r="325" spans="1:4">
      <c r="A325" s="68">
        <v>309</v>
      </c>
      <c r="B325" s="75" t="s">
        <v>285</v>
      </c>
      <c r="C325" s="68" t="s">
        <v>365</v>
      </c>
      <c r="D325" s="55">
        <v>1731</v>
      </c>
    </row>
    <row r="326" spans="1:4">
      <c r="A326" s="68">
        <v>310</v>
      </c>
      <c r="B326" s="75" t="s">
        <v>286</v>
      </c>
      <c r="C326" s="68" t="s">
        <v>365</v>
      </c>
      <c r="D326" s="55">
        <v>1731</v>
      </c>
    </row>
    <row r="327" spans="1:4">
      <c r="A327" s="68">
        <v>311</v>
      </c>
      <c r="B327" s="75" t="s">
        <v>287</v>
      </c>
      <c r="C327" s="68" t="s">
        <v>365</v>
      </c>
      <c r="D327" s="55">
        <v>1731</v>
      </c>
    </row>
    <row r="328" spans="1:4">
      <c r="A328" s="68">
        <v>312</v>
      </c>
      <c r="B328" s="75" t="s">
        <v>288</v>
      </c>
      <c r="C328" s="68" t="s">
        <v>365</v>
      </c>
      <c r="D328" s="55">
        <v>1731</v>
      </c>
    </row>
    <row r="329" spans="1:4">
      <c r="A329" s="68">
        <v>313</v>
      </c>
      <c r="B329" s="75" t="s">
        <v>289</v>
      </c>
      <c r="C329" s="68" t="s">
        <v>365</v>
      </c>
      <c r="D329" s="55">
        <v>2597</v>
      </c>
    </row>
    <row r="330" spans="1:4">
      <c r="A330" s="68">
        <v>314</v>
      </c>
      <c r="B330" s="75" t="s">
        <v>290</v>
      </c>
      <c r="C330" s="68" t="s">
        <v>365</v>
      </c>
      <c r="D330" s="55">
        <v>2597</v>
      </c>
    </row>
    <row r="331" spans="1:4">
      <c r="A331" s="68">
        <v>315</v>
      </c>
      <c r="B331" s="75" t="s">
        <v>291</v>
      </c>
      <c r="C331" s="68" t="s">
        <v>365</v>
      </c>
      <c r="D331" s="55">
        <v>2597</v>
      </c>
    </row>
    <row r="332" spans="1:4">
      <c r="A332" s="68">
        <v>316</v>
      </c>
      <c r="B332" s="75" t="s">
        <v>292</v>
      </c>
      <c r="C332" s="68" t="s">
        <v>365</v>
      </c>
      <c r="D332" s="55">
        <v>2597</v>
      </c>
    </row>
    <row r="333" spans="1:4">
      <c r="A333" s="68">
        <v>317</v>
      </c>
      <c r="B333" s="75" t="s">
        <v>293</v>
      </c>
      <c r="C333" s="68" t="s">
        <v>365</v>
      </c>
      <c r="D333" s="55">
        <v>5983</v>
      </c>
    </row>
    <row r="334" spans="1:4">
      <c r="A334" s="68">
        <v>318</v>
      </c>
      <c r="B334" s="75" t="s">
        <v>294</v>
      </c>
      <c r="C334" s="68" t="s">
        <v>365</v>
      </c>
      <c r="D334" s="55">
        <v>5983</v>
      </c>
    </row>
    <row r="335" spans="1:4">
      <c r="A335" s="68">
        <v>319</v>
      </c>
      <c r="B335" s="75" t="s">
        <v>295</v>
      </c>
      <c r="C335" s="68" t="s">
        <v>365</v>
      </c>
      <c r="D335" s="55">
        <v>5983</v>
      </c>
    </row>
    <row r="336" spans="1:4">
      <c r="A336" s="68">
        <v>320</v>
      </c>
      <c r="B336" s="75" t="s">
        <v>296</v>
      </c>
      <c r="C336" s="68" t="s">
        <v>365</v>
      </c>
      <c r="D336" s="55">
        <v>5983</v>
      </c>
    </row>
    <row r="337" spans="1:4">
      <c r="A337" s="68">
        <v>321</v>
      </c>
      <c r="B337" s="75" t="s">
        <v>297</v>
      </c>
      <c r="C337" s="68" t="s">
        <v>365</v>
      </c>
      <c r="D337" s="55">
        <v>17818</v>
      </c>
    </row>
    <row r="338" spans="1:4">
      <c r="A338" s="68">
        <v>322</v>
      </c>
      <c r="B338" s="75" t="s">
        <v>298</v>
      </c>
      <c r="C338" s="68" t="s">
        <v>365</v>
      </c>
      <c r="D338" s="55">
        <v>17818</v>
      </c>
    </row>
    <row r="339" spans="1:4">
      <c r="A339" s="68">
        <v>323</v>
      </c>
      <c r="B339" s="75" t="s">
        <v>299</v>
      </c>
      <c r="C339" s="68" t="s">
        <v>365</v>
      </c>
      <c r="D339" s="55">
        <v>17818</v>
      </c>
    </row>
    <row r="340" spans="1:4">
      <c r="A340" s="68">
        <v>324</v>
      </c>
      <c r="B340" s="75" t="s">
        <v>300</v>
      </c>
      <c r="C340" s="68" t="s">
        <v>365</v>
      </c>
      <c r="D340" s="55">
        <v>17077</v>
      </c>
    </row>
    <row r="341" spans="1:4">
      <c r="A341" s="68">
        <v>325</v>
      </c>
      <c r="B341" s="75" t="s">
        <v>301</v>
      </c>
      <c r="C341" s="68" t="s">
        <v>365</v>
      </c>
      <c r="D341" s="55">
        <v>17077</v>
      </c>
    </row>
    <row r="342" spans="1:4">
      <c r="A342" s="68">
        <v>326</v>
      </c>
      <c r="B342" s="75" t="s">
        <v>302</v>
      </c>
      <c r="C342" s="68" t="s">
        <v>365</v>
      </c>
      <c r="D342" s="55">
        <v>17077</v>
      </c>
    </row>
    <row r="343" spans="1:4">
      <c r="A343" s="68">
        <v>327</v>
      </c>
      <c r="B343" s="75" t="s">
        <v>303</v>
      </c>
      <c r="C343" s="68" t="s">
        <v>365</v>
      </c>
      <c r="D343" s="55">
        <v>31357</v>
      </c>
    </row>
    <row r="344" spans="1:4">
      <c r="A344" s="68">
        <v>328</v>
      </c>
      <c r="B344" s="75" t="s">
        <v>304</v>
      </c>
      <c r="C344" s="68" t="s">
        <v>365</v>
      </c>
      <c r="D344" s="55">
        <v>31357</v>
      </c>
    </row>
    <row r="345" spans="1:4">
      <c r="A345" s="68">
        <v>329</v>
      </c>
      <c r="B345" s="75" t="s">
        <v>305</v>
      </c>
      <c r="C345" s="68" t="s">
        <v>365</v>
      </c>
      <c r="D345" s="55">
        <v>31357</v>
      </c>
    </row>
    <row r="346" spans="1:4">
      <c r="A346" s="68">
        <v>330</v>
      </c>
      <c r="B346" s="75" t="s">
        <v>306</v>
      </c>
      <c r="C346" s="68" t="s">
        <v>365</v>
      </c>
      <c r="D346" s="55">
        <v>90547</v>
      </c>
    </row>
    <row r="347" spans="1:4">
      <c r="A347" s="68">
        <v>331</v>
      </c>
      <c r="B347" s="75" t="s">
        <v>307</v>
      </c>
      <c r="C347" s="68" t="s">
        <v>365</v>
      </c>
      <c r="D347" s="55">
        <v>90547</v>
      </c>
    </row>
    <row r="348" spans="1:4">
      <c r="A348" s="68">
        <v>332</v>
      </c>
      <c r="B348" s="75" t="s">
        <v>308</v>
      </c>
      <c r="C348" s="68" t="s">
        <v>365</v>
      </c>
      <c r="D348" s="55">
        <v>90547</v>
      </c>
    </row>
    <row r="349" spans="1:4">
      <c r="A349" s="68">
        <v>333</v>
      </c>
      <c r="B349" s="75" t="s">
        <v>309</v>
      </c>
      <c r="C349" s="68" t="s">
        <v>365</v>
      </c>
      <c r="D349" s="55">
        <v>91163</v>
      </c>
    </row>
    <row r="350" spans="1:4">
      <c r="A350" s="68">
        <v>334</v>
      </c>
      <c r="B350" s="75" t="s">
        <v>310</v>
      </c>
      <c r="C350" s="68" t="s">
        <v>365</v>
      </c>
      <c r="D350" s="55">
        <v>91163</v>
      </c>
    </row>
    <row r="351" spans="1:4">
      <c r="A351" s="68">
        <v>335</v>
      </c>
      <c r="B351" s="75" t="s">
        <v>311</v>
      </c>
      <c r="C351" s="68" t="s">
        <v>365</v>
      </c>
      <c r="D351" s="55">
        <v>13434</v>
      </c>
    </row>
    <row r="352" spans="1:4">
      <c r="A352" s="68">
        <v>336</v>
      </c>
      <c r="B352" s="75" t="s">
        <v>312</v>
      </c>
      <c r="C352" s="68" t="s">
        <v>365</v>
      </c>
      <c r="D352" s="55">
        <v>14611</v>
      </c>
    </row>
    <row r="353" spans="1:4">
      <c r="A353" s="68">
        <v>337</v>
      </c>
      <c r="B353" s="75" t="s">
        <v>313</v>
      </c>
      <c r="C353" s="68" t="s">
        <v>365</v>
      </c>
      <c r="D353" s="55">
        <v>16284</v>
      </c>
    </row>
    <row r="354" spans="1:4">
      <c r="A354" s="68">
        <v>338</v>
      </c>
      <c r="B354" s="75" t="s">
        <v>314</v>
      </c>
      <c r="C354" s="68" t="s">
        <v>365</v>
      </c>
      <c r="D354" s="55">
        <v>17070</v>
      </c>
    </row>
    <row r="355" spans="1:4">
      <c r="A355" s="68">
        <v>339</v>
      </c>
      <c r="B355" s="75" t="s">
        <v>315</v>
      </c>
      <c r="C355" s="68" t="s">
        <v>365</v>
      </c>
      <c r="D355" s="55">
        <v>16141</v>
      </c>
    </row>
    <row r="356" spans="1:4">
      <c r="A356" s="68">
        <v>340</v>
      </c>
      <c r="B356" s="75" t="s">
        <v>316</v>
      </c>
      <c r="C356" s="68" t="s">
        <v>365</v>
      </c>
      <c r="D356" s="55">
        <v>33204</v>
      </c>
    </row>
    <row r="357" spans="1:4">
      <c r="A357" s="68">
        <v>341</v>
      </c>
      <c r="B357" s="75" t="s">
        <v>317</v>
      </c>
      <c r="C357" s="68" t="s">
        <v>365</v>
      </c>
      <c r="D357" s="55">
        <v>953</v>
      </c>
    </row>
    <row r="358" spans="1:4">
      <c r="A358" s="68">
        <v>342</v>
      </c>
      <c r="B358" s="75" t="s">
        <v>318</v>
      </c>
      <c r="C358" s="68" t="s">
        <v>365</v>
      </c>
      <c r="D358" s="55">
        <v>848</v>
      </c>
    </row>
    <row r="359" spans="1:4">
      <c r="A359" s="68">
        <v>343</v>
      </c>
      <c r="B359" s="75" t="s">
        <v>319</v>
      </c>
      <c r="C359" s="68" t="s">
        <v>365</v>
      </c>
      <c r="D359" s="55">
        <v>551</v>
      </c>
    </row>
    <row r="360" spans="1:4">
      <c r="A360" s="68">
        <v>344</v>
      </c>
      <c r="B360" s="75" t="s">
        <v>320</v>
      </c>
      <c r="C360" s="68" t="s">
        <v>365</v>
      </c>
      <c r="D360" s="55">
        <v>716</v>
      </c>
    </row>
    <row r="361" spans="1:4">
      <c r="A361" s="68">
        <v>345</v>
      </c>
      <c r="B361" s="75" t="s">
        <v>321</v>
      </c>
      <c r="C361" s="68" t="s">
        <v>365</v>
      </c>
      <c r="D361" s="55">
        <v>905</v>
      </c>
    </row>
    <row r="362" spans="1:4">
      <c r="A362" s="68">
        <v>346</v>
      </c>
      <c r="B362" s="75" t="s">
        <v>322</v>
      </c>
      <c r="C362" s="68" t="s">
        <v>365</v>
      </c>
      <c r="D362" s="55">
        <v>1389</v>
      </c>
    </row>
    <row r="363" spans="1:4">
      <c r="A363" s="68">
        <v>347</v>
      </c>
      <c r="B363" s="75" t="s">
        <v>323</v>
      </c>
      <c r="C363" s="68" t="s">
        <v>365</v>
      </c>
      <c r="D363" s="55">
        <v>980</v>
      </c>
    </row>
    <row r="364" spans="1:4">
      <c r="A364" s="68">
        <v>348</v>
      </c>
      <c r="B364" s="75" t="s">
        <v>324</v>
      </c>
      <c r="C364" s="68" t="s">
        <v>365</v>
      </c>
      <c r="D364" s="55">
        <v>980</v>
      </c>
    </row>
    <row r="365" spans="1:4">
      <c r="A365" s="68">
        <v>349</v>
      </c>
      <c r="B365" s="75" t="s">
        <v>325</v>
      </c>
      <c r="C365" s="68" t="s">
        <v>365</v>
      </c>
      <c r="D365" s="55">
        <v>980</v>
      </c>
    </row>
    <row r="366" spans="1:4">
      <c r="A366" s="68">
        <v>350</v>
      </c>
      <c r="B366" s="75" t="s">
        <v>326</v>
      </c>
      <c r="C366" s="68" t="s">
        <v>365</v>
      </c>
      <c r="D366" s="55">
        <v>1437</v>
      </c>
    </row>
    <row r="367" spans="1:4">
      <c r="A367" s="68">
        <v>351</v>
      </c>
      <c r="B367" s="75" t="s">
        <v>327</v>
      </c>
      <c r="C367" s="68" t="s">
        <v>365</v>
      </c>
      <c r="D367" s="55">
        <v>4312</v>
      </c>
    </row>
    <row r="368" spans="1:4">
      <c r="A368" s="68">
        <v>352</v>
      </c>
      <c r="B368" s="75" t="s">
        <v>328</v>
      </c>
      <c r="C368" s="68" t="s">
        <v>365</v>
      </c>
      <c r="D368" s="55">
        <v>15038</v>
      </c>
    </row>
    <row r="369" spans="1:4">
      <c r="A369" s="68">
        <v>353</v>
      </c>
      <c r="B369" s="75" t="s">
        <v>329</v>
      </c>
      <c r="C369" s="68" t="s">
        <v>365</v>
      </c>
      <c r="D369" s="55">
        <v>1413</v>
      </c>
    </row>
    <row r="370" spans="1:4">
      <c r="A370" s="68">
        <v>354</v>
      </c>
      <c r="B370" s="75" t="s">
        <v>330</v>
      </c>
      <c r="C370" s="68" t="s">
        <v>365</v>
      </c>
      <c r="D370" s="55">
        <v>3785</v>
      </c>
    </row>
    <row r="371" spans="1:4">
      <c r="A371" s="68">
        <v>355</v>
      </c>
      <c r="B371" s="75" t="s">
        <v>331</v>
      </c>
      <c r="C371" s="68" t="s">
        <v>365</v>
      </c>
      <c r="D371" s="55">
        <v>1006</v>
      </c>
    </row>
    <row r="372" spans="1:4">
      <c r="A372" s="68">
        <v>356</v>
      </c>
      <c r="B372" s="75" t="s">
        <v>332</v>
      </c>
      <c r="C372" s="68" t="s">
        <v>365</v>
      </c>
      <c r="D372" s="55">
        <v>3809</v>
      </c>
    </row>
    <row r="373" spans="1:4">
      <c r="A373" s="68">
        <v>357</v>
      </c>
      <c r="B373" s="75" t="s">
        <v>333</v>
      </c>
      <c r="C373" s="68" t="s">
        <v>365</v>
      </c>
      <c r="D373" s="55">
        <v>2587</v>
      </c>
    </row>
    <row r="374" spans="1:4">
      <c r="A374" s="68">
        <v>358</v>
      </c>
      <c r="B374" s="75" t="s">
        <v>334</v>
      </c>
      <c r="C374" s="68" t="s">
        <v>365</v>
      </c>
      <c r="D374" s="55">
        <v>17913</v>
      </c>
    </row>
    <row r="375" spans="1:4">
      <c r="A375" s="68">
        <v>359</v>
      </c>
      <c r="B375" s="75" t="s">
        <v>335</v>
      </c>
      <c r="C375" s="68" t="s">
        <v>365</v>
      </c>
      <c r="D375" s="55">
        <v>1337</v>
      </c>
    </row>
    <row r="376" spans="1:4">
      <c r="A376" s="68">
        <v>360</v>
      </c>
      <c r="B376" s="75" t="s">
        <v>336</v>
      </c>
      <c r="C376" s="68" t="s">
        <v>365</v>
      </c>
      <c r="D376" s="55">
        <v>5505</v>
      </c>
    </row>
    <row r="377" spans="1:4">
      <c r="A377" s="68">
        <v>361</v>
      </c>
      <c r="B377" s="75" t="s">
        <v>337</v>
      </c>
      <c r="C377" s="68" t="s">
        <v>365</v>
      </c>
      <c r="D377" s="55">
        <v>52653</v>
      </c>
    </row>
    <row r="378" spans="1:4">
      <c r="A378" s="68">
        <v>362</v>
      </c>
      <c r="B378" s="75" t="s">
        <v>338</v>
      </c>
      <c r="C378" s="68" t="s">
        <v>365</v>
      </c>
      <c r="D378" s="55">
        <v>38328</v>
      </c>
    </row>
    <row r="379" spans="1:4" ht="27">
      <c r="A379" s="68">
        <v>363</v>
      </c>
      <c r="B379" s="75" t="s">
        <v>339</v>
      </c>
      <c r="C379" s="68" t="s">
        <v>366</v>
      </c>
      <c r="D379" s="55">
        <v>16289</v>
      </c>
    </row>
    <row r="380" spans="1:4">
      <c r="A380" s="68">
        <v>364</v>
      </c>
      <c r="B380" s="75" t="s">
        <v>339</v>
      </c>
      <c r="C380" s="68" t="s">
        <v>365</v>
      </c>
      <c r="D380" s="55">
        <v>16289</v>
      </c>
    </row>
    <row r="381" spans="1:4" ht="27">
      <c r="A381" s="68">
        <v>365</v>
      </c>
      <c r="B381" s="75" t="s">
        <v>340</v>
      </c>
      <c r="C381" s="68" t="s">
        <v>366</v>
      </c>
      <c r="D381" s="55">
        <v>19909</v>
      </c>
    </row>
    <row r="382" spans="1:4">
      <c r="A382" s="68">
        <v>366</v>
      </c>
      <c r="B382" s="75" t="s">
        <v>340</v>
      </c>
      <c r="C382" s="68" t="s">
        <v>365</v>
      </c>
      <c r="D382" s="55">
        <v>19909</v>
      </c>
    </row>
    <row r="383" spans="1:4" ht="27">
      <c r="A383" s="68">
        <v>367</v>
      </c>
      <c r="B383" s="75" t="s">
        <v>341</v>
      </c>
      <c r="C383" s="68" t="s">
        <v>366</v>
      </c>
      <c r="D383" s="55">
        <v>23755</v>
      </c>
    </row>
    <row r="384" spans="1:4">
      <c r="A384" s="68">
        <v>368</v>
      </c>
      <c r="B384" s="75" t="s">
        <v>341</v>
      </c>
      <c r="C384" s="68" t="s">
        <v>365</v>
      </c>
      <c r="D384" s="55">
        <v>23981</v>
      </c>
    </row>
    <row r="385" spans="1:4">
      <c r="A385" s="68">
        <v>369</v>
      </c>
      <c r="B385" s="75" t="s">
        <v>342</v>
      </c>
      <c r="C385" s="68" t="s">
        <v>365</v>
      </c>
      <c r="D385" s="55">
        <v>125631</v>
      </c>
    </row>
    <row r="386" spans="1:4" ht="27">
      <c r="A386" s="68">
        <v>370</v>
      </c>
      <c r="B386" s="75" t="s">
        <v>343</v>
      </c>
      <c r="C386" s="68" t="s">
        <v>366</v>
      </c>
      <c r="D386" s="55">
        <v>20262</v>
      </c>
    </row>
    <row r="387" spans="1:4">
      <c r="A387" s="68">
        <v>371</v>
      </c>
      <c r="B387" s="75" t="s">
        <v>343</v>
      </c>
      <c r="C387" s="68" t="s">
        <v>365</v>
      </c>
      <c r="D387" s="55">
        <v>24886</v>
      </c>
    </row>
    <row r="388" spans="1:4" ht="27">
      <c r="A388" s="68">
        <v>372</v>
      </c>
      <c r="B388" s="75" t="s">
        <v>344</v>
      </c>
      <c r="C388" s="68" t="s">
        <v>366</v>
      </c>
      <c r="D388" s="55">
        <v>24632</v>
      </c>
    </row>
    <row r="389" spans="1:4">
      <c r="A389" s="68">
        <v>373</v>
      </c>
      <c r="B389" s="75" t="s">
        <v>344</v>
      </c>
      <c r="C389" s="68" t="s">
        <v>365</v>
      </c>
      <c r="D389" s="55">
        <v>89968</v>
      </c>
    </row>
    <row r="390" spans="1:4" ht="27">
      <c r="A390" s="68">
        <v>374</v>
      </c>
      <c r="B390" s="75" t="s">
        <v>345</v>
      </c>
      <c r="C390" s="68" t="s">
        <v>366</v>
      </c>
      <c r="D390" s="55">
        <v>3150</v>
      </c>
    </row>
    <row r="391" spans="1:4">
      <c r="A391" s="68">
        <v>375</v>
      </c>
      <c r="B391" s="75" t="s">
        <v>345</v>
      </c>
      <c r="C391" s="68" t="s">
        <v>365</v>
      </c>
      <c r="D391" s="55">
        <v>5744</v>
      </c>
    </row>
    <row r="392" spans="1:4" ht="27">
      <c r="A392" s="68">
        <v>376</v>
      </c>
      <c r="B392" s="75" t="s">
        <v>346</v>
      </c>
      <c r="C392" s="68" t="s">
        <v>366</v>
      </c>
      <c r="D392" s="55">
        <v>3230</v>
      </c>
    </row>
    <row r="393" spans="1:4">
      <c r="A393" s="68">
        <v>377</v>
      </c>
      <c r="B393" s="75" t="s">
        <v>346</v>
      </c>
      <c r="C393" s="68" t="s">
        <v>365</v>
      </c>
      <c r="D393" s="55">
        <v>5878</v>
      </c>
    </row>
    <row r="394" spans="1:4">
      <c r="A394" s="68">
        <v>378</v>
      </c>
      <c r="B394" s="75" t="s">
        <v>347</v>
      </c>
      <c r="C394" s="68" t="s">
        <v>365</v>
      </c>
      <c r="D394" s="55">
        <v>9276</v>
      </c>
    </row>
    <row r="395" spans="1:4">
      <c r="A395" s="68">
        <v>379</v>
      </c>
      <c r="B395" s="75" t="s">
        <v>348</v>
      </c>
      <c r="C395" s="68" t="s">
        <v>365</v>
      </c>
      <c r="D395" s="55">
        <v>12896</v>
      </c>
    </row>
    <row r="396" spans="1:4" ht="27">
      <c r="A396" s="68">
        <v>380</v>
      </c>
      <c r="B396" s="75" t="s">
        <v>349</v>
      </c>
      <c r="C396" s="68" t="s">
        <v>366</v>
      </c>
      <c r="D396" s="55">
        <v>14570</v>
      </c>
    </row>
    <row r="397" spans="1:4">
      <c r="A397" s="68">
        <v>381</v>
      </c>
      <c r="B397" s="75" t="s">
        <v>349</v>
      </c>
      <c r="C397" s="68" t="s">
        <v>365</v>
      </c>
      <c r="D397" s="55">
        <v>37420</v>
      </c>
    </row>
    <row r="398" spans="1:4" ht="27">
      <c r="A398" s="68">
        <v>382</v>
      </c>
      <c r="B398" s="75" t="s">
        <v>350</v>
      </c>
      <c r="C398" s="68" t="s">
        <v>366</v>
      </c>
      <c r="D398" s="55">
        <v>24487</v>
      </c>
    </row>
    <row r="399" spans="1:4">
      <c r="A399" s="68">
        <v>383</v>
      </c>
      <c r="B399" s="75" t="s">
        <v>350</v>
      </c>
      <c r="C399" s="68" t="s">
        <v>365</v>
      </c>
      <c r="D399" s="55">
        <v>72171</v>
      </c>
    </row>
    <row r="400" spans="1:4" ht="27">
      <c r="A400" s="68">
        <v>384</v>
      </c>
      <c r="B400" s="75" t="s">
        <v>351</v>
      </c>
      <c r="C400" s="68" t="s">
        <v>366</v>
      </c>
      <c r="D400" s="55">
        <v>67225</v>
      </c>
    </row>
    <row r="401" spans="1:4">
      <c r="A401" s="68">
        <v>385</v>
      </c>
      <c r="B401" s="75" t="s">
        <v>351</v>
      </c>
      <c r="C401" s="68" t="s">
        <v>365</v>
      </c>
      <c r="D401" s="55">
        <v>95157</v>
      </c>
    </row>
    <row r="402" spans="1:4" ht="27">
      <c r="A402" s="68">
        <v>386</v>
      </c>
      <c r="B402" s="75" t="s">
        <v>352</v>
      </c>
      <c r="C402" s="68" t="s">
        <v>366</v>
      </c>
      <c r="D402" s="55">
        <v>69006</v>
      </c>
    </row>
    <row r="403" spans="1:4">
      <c r="A403" s="68">
        <v>387</v>
      </c>
      <c r="B403" s="75" t="s">
        <v>352</v>
      </c>
      <c r="C403" s="68" t="s">
        <v>365</v>
      </c>
      <c r="D403" s="55">
        <v>103844</v>
      </c>
    </row>
    <row r="404" spans="1:4" ht="27">
      <c r="A404" s="68">
        <v>388</v>
      </c>
      <c r="B404" s="75" t="s">
        <v>353</v>
      </c>
      <c r="C404" s="68" t="s">
        <v>366</v>
      </c>
      <c r="D404" s="55">
        <v>106898</v>
      </c>
    </row>
    <row r="405" spans="1:4">
      <c r="A405" s="68">
        <v>389</v>
      </c>
      <c r="B405" s="75" t="s">
        <v>353</v>
      </c>
      <c r="C405" s="68" t="s">
        <v>365</v>
      </c>
      <c r="D405" s="55">
        <v>119907</v>
      </c>
    </row>
    <row r="406" spans="1:4" ht="27">
      <c r="A406" s="68">
        <v>390</v>
      </c>
      <c r="B406" s="75" t="s">
        <v>354</v>
      </c>
      <c r="C406" s="68" t="s">
        <v>366</v>
      </c>
      <c r="D406" s="55">
        <v>60873</v>
      </c>
    </row>
    <row r="407" spans="1:4">
      <c r="A407" s="68">
        <v>391</v>
      </c>
      <c r="B407" s="75" t="s">
        <v>354</v>
      </c>
      <c r="C407" s="68" t="s">
        <v>365</v>
      </c>
      <c r="D407" s="55">
        <v>101944</v>
      </c>
    </row>
    <row r="408" spans="1:4" ht="27">
      <c r="A408" s="68">
        <v>392</v>
      </c>
      <c r="B408" s="75" t="s">
        <v>355</v>
      </c>
      <c r="C408" s="68" t="s">
        <v>366</v>
      </c>
      <c r="D408" s="55">
        <v>70318</v>
      </c>
    </row>
    <row r="409" spans="1:4">
      <c r="A409" s="68">
        <v>393</v>
      </c>
      <c r="B409" s="75" t="s">
        <v>355</v>
      </c>
      <c r="C409" s="68" t="s">
        <v>365</v>
      </c>
      <c r="D409" s="55">
        <v>101582</v>
      </c>
    </row>
    <row r="410" spans="1:4" ht="27">
      <c r="A410" s="68">
        <v>394</v>
      </c>
      <c r="B410" s="75" t="s">
        <v>356</v>
      </c>
      <c r="C410" s="68" t="s">
        <v>366</v>
      </c>
      <c r="D410" s="55">
        <v>79849</v>
      </c>
    </row>
    <row r="411" spans="1:4">
      <c r="A411" s="68">
        <v>395</v>
      </c>
      <c r="B411" s="75" t="s">
        <v>356</v>
      </c>
      <c r="C411" s="68" t="s">
        <v>365</v>
      </c>
      <c r="D411" s="55">
        <v>117600</v>
      </c>
    </row>
    <row r="412" spans="1:4" ht="27">
      <c r="A412" s="68">
        <v>396</v>
      </c>
      <c r="B412" s="75" t="s">
        <v>357</v>
      </c>
      <c r="C412" s="68" t="s">
        <v>366</v>
      </c>
      <c r="D412" s="55">
        <v>36465</v>
      </c>
    </row>
    <row r="413" spans="1:4">
      <c r="A413" s="68">
        <v>397</v>
      </c>
      <c r="B413" s="75" t="s">
        <v>357</v>
      </c>
      <c r="C413" s="68" t="s">
        <v>365</v>
      </c>
      <c r="D413" s="55">
        <v>66782</v>
      </c>
    </row>
    <row r="414" spans="1:4" ht="27">
      <c r="A414" s="68">
        <v>398</v>
      </c>
      <c r="B414" s="75" t="s">
        <v>358</v>
      </c>
      <c r="C414" s="68" t="s">
        <v>366</v>
      </c>
      <c r="D414" s="55">
        <v>4236</v>
      </c>
    </row>
    <row r="415" spans="1:4">
      <c r="A415" s="68">
        <v>399</v>
      </c>
      <c r="B415" s="75" t="s">
        <v>358</v>
      </c>
      <c r="C415" s="68" t="s">
        <v>365</v>
      </c>
      <c r="D415" s="55">
        <v>14525</v>
      </c>
    </row>
    <row r="416" spans="1:4">
      <c r="A416" s="68">
        <v>400</v>
      </c>
      <c r="B416" s="75" t="s">
        <v>359</v>
      </c>
      <c r="C416" s="68" t="s">
        <v>365</v>
      </c>
      <c r="D416" s="55">
        <v>4294</v>
      </c>
    </row>
    <row r="417" spans="1:4">
      <c r="A417" s="68">
        <v>401</v>
      </c>
      <c r="B417" s="75" t="s">
        <v>360</v>
      </c>
      <c r="C417" s="68" t="s">
        <v>365</v>
      </c>
      <c r="D417" s="55">
        <v>70134</v>
      </c>
    </row>
    <row r="418" spans="1:4" ht="27">
      <c r="A418" s="68">
        <v>402</v>
      </c>
      <c r="B418" s="75" t="s">
        <v>361</v>
      </c>
      <c r="C418" s="68" t="s">
        <v>366</v>
      </c>
      <c r="D418" s="55">
        <v>49715</v>
      </c>
    </row>
    <row r="419" spans="1:4">
      <c r="A419" s="68">
        <v>403</v>
      </c>
      <c r="B419" s="75" t="s">
        <v>361</v>
      </c>
      <c r="C419" s="68" t="s">
        <v>365</v>
      </c>
      <c r="D419" s="55">
        <v>146418</v>
      </c>
    </row>
    <row r="420" spans="1:4" ht="27">
      <c r="A420" s="68">
        <v>404</v>
      </c>
      <c r="B420" s="75" t="s">
        <v>362</v>
      </c>
      <c r="C420" s="68" t="s">
        <v>366</v>
      </c>
      <c r="D420" s="55">
        <v>41329</v>
      </c>
    </row>
    <row r="421" spans="1:4">
      <c r="A421" s="68">
        <v>405</v>
      </c>
      <c r="B421" s="75" t="s">
        <v>362</v>
      </c>
      <c r="C421" s="68" t="s">
        <v>365</v>
      </c>
      <c r="D421" s="55">
        <v>86802</v>
      </c>
    </row>
    <row r="422" spans="1:4" ht="27">
      <c r="A422" s="68">
        <v>406</v>
      </c>
      <c r="B422" s="75" t="s">
        <v>363</v>
      </c>
      <c r="C422" s="68" t="s">
        <v>366</v>
      </c>
      <c r="D422" s="55">
        <v>30562</v>
      </c>
    </row>
    <row r="423" spans="1:4">
      <c r="A423" s="68">
        <v>407</v>
      </c>
      <c r="B423" s="75" t="s">
        <v>363</v>
      </c>
      <c r="C423" s="68" t="s">
        <v>365</v>
      </c>
      <c r="D423" s="55">
        <v>75287</v>
      </c>
    </row>
  </sheetData>
  <mergeCells count="1">
    <mergeCell ref="A16:B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9" ma:contentTypeDescription="Crear nuevo documento." ma:contentTypeScope="" ma:versionID="74cab85d2b9ca4db93d536bd906bf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48f6cca43445d5177c55b63aad04cab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d11a0eb6-ad86-4071-a759-4f0356bdcc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0d7df5-0e9a-4fca-984e-da1804d5950e">
      <Terms xmlns="http://schemas.microsoft.com/office/infopath/2007/PartnerControls"/>
    </lcf76f155ced4ddcb4097134ff3c332f>
    <TaxCatchAll xmlns="697c4dee-e7ec-4d95-9444-4931b2058c5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616E26-E2E7-4ED7-960D-BFA3D0246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0d7df5-0e9a-4fca-984e-da1804d5950e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B0ECA7-1E3D-4939-8E52-D5E938806315}">
  <ds:schemaRefs>
    <ds:schemaRef ds:uri="http://purl.org/dc/elements/1.1/"/>
    <ds:schemaRef ds:uri="http://schemas.microsoft.com/office/infopath/2007/PartnerControls"/>
    <ds:schemaRef ds:uri="697c4dee-e7ec-4d95-9444-4931b2058c5c"/>
    <ds:schemaRef ds:uri="http://schemas.openxmlformats.org/package/2006/metadata/core-properties"/>
    <ds:schemaRef ds:uri="100d7df5-0e9a-4fca-984e-da1804d5950e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03079AA-3B2C-4F31-80E3-1E25D575F3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Cuadro de control</vt:lpstr>
      <vt:lpstr>Precios oferta</vt:lpstr>
      <vt:lpstr>Precios piso</vt:lpstr>
      <vt:lpstr>Costo psonal</vt:lpstr>
      <vt:lpstr>Costo polizas</vt:lpstr>
      <vt:lpstr>Costo adq</vt:lpstr>
      <vt:lpstr>Evento Cotiz</vt:lpstr>
      <vt:lpstr>Evento Cotiz DEF</vt:lpstr>
      <vt:lpstr>Dcto ofertar</vt:lpstr>
      <vt:lpstr>Hoja5</vt:lpstr>
      <vt:lpstr>'Costo psonal'!Área_de_impresión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 Ortegon F.</dc:creator>
  <cp:keywords/>
  <dc:description/>
  <cp:lastModifiedBy>Liz Johana Perez Colmenares</cp:lastModifiedBy>
  <cp:revision/>
  <cp:lastPrinted>2023-04-25T16:18:55Z</cp:lastPrinted>
  <dcterms:created xsi:type="dcterms:W3CDTF">2022-11-19T04:06:59Z</dcterms:created>
  <dcterms:modified xsi:type="dcterms:W3CDTF">2024-09-06T15:01:43Z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0x0101000EBEB22D6CD34E47A1DE530E6316E22B</vt:lpwstr>
  </property>
  <property fmtid="{D5CDD505-2E9C-101B-9397-08002B2CF9AE}" pid="3" name="MediaServiceImageTags">
    <vt:lpwstr/>
  </property>
  <property fmtid="{D5CDD505-2E9C-101B-9397-08002B2CF9AE}" pid="4" name="MSIP_Label_fc111285-cafa-4fc9-8a9a-bd902089b24f_Enabled">
    <vt:lpwstr>true</vt:lpwstr>
  </property>
  <property fmtid="{D5CDD505-2E9C-101B-9397-08002B2CF9AE}" pid="5" name="MSIP_Label_fc111285-cafa-4fc9-8a9a-bd902089b24f_SetDate">
    <vt:lpwstr>2024-09-06T15:01:43Z</vt:lpwstr>
  </property>
  <property fmtid="{D5CDD505-2E9C-101B-9397-08002B2CF9AE}" pid="6" name="MSIP_Label_fc111285-cafa-4fc9-8a9a-bd902089b24f_Method">
    <vt:lpwstr>Privileged</vt:lpwstr>
  </property>
  <property fmtid="{D5CDD505-2E9C-101B-9397-08002B2CF9AE}" pid="7" name="MSIP_Label_fc111285-cafa-4fc9-8a9a-bd902089b24f_Name">
    <vt:lpwstr>Public</vt:lpwstr>
  </property>
  <property fmtid="{D5CDD505-2E9C-101B-9397-08002B2CF9AE}" pid="8" name="MSIP_Label_fc111285-cafa-4fc9-8a9a-bd902089b24f_SiteId">
    <vt:lpwstr>cbc2c381-2f2e-4d93-91d1-506c9316ace7</vt:lpwstr>
  </property>
  <property fmtid="{D5CDD505-2E9C-101B-9397-08002B2CF9AE}" pid="9" name="MSIP_Label_fc111285-cafa-4fc9-8a9a-bd902089b24f_ActionId">
    <vt:lpwstr>29ff9556-2c95-4f4e-b377-64041e080ed5</vt:lpwstr>
  </property>
  <property fmtid="{D5CDD505-2E9C-101B-9397-08002B2CF9AE}" pid="10" name="MSIP_Label_fc111285-cafa-4fc9-8a9a-bd902089b24f_ContentBits">
    <vt:lpwstr>0</vt:lpwstr>
  </property>
</Properties>
</file>