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1BC4226E-EB01-4A17-8D03-DB32C651A463}" xr6:coauthVersionLast="36" xr6:coauthVersionMax="36" xr10:uidLastSave="{00000000-0000-0000-0000-000000000000}"/>
  <workbookProtection workbookAlgorithmName="SHA-512" workbookHashValue="m/TPlErzEStfNZUCeH2fxpeaLHsKLl0J0AvJipRwDuPxZB8xQ3eQLyJPoQkeqKgsyo0drniNWn7SM9KSFemeRg==" workbookSaltValue="Z6hjVpjXRXSEKl/W7BWOtw==" workbookSpinCount="100000" lockStructure="1"/>
  <bookViews>
    <workbookView xWindow="1260" yWindow="0" windowWidth="27540" windowHeight="15480"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SolCotizacion!$G$59</definedName>
    <definedName name="filas_grav">SolCotizacion!$G$69</definedName>
    <definedName name="filas_paq">SolCotizacion!$G$39</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X34" i="26" s="1"/>
  <c r="E2" i="41"/>
  <c r="D2" i="41"/>
  <c r="DT6" i="45"/>
  <c r="DS6" i="45"/>
  <c r="DT5" i="45"/>
  <c r="DS5" i="45"/>
  <c r="F34"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36" i="20"/>
  <c r="NY11" i="22" l="1"/>
  <c r="NY12" i="22" s="1"/>
  <c r="F53" i="20"/>
  <c r="F54"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B9" i="22"/>
  <c r="SL9" i="22"/>
  <c r="SI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34" i="56" a="1"/>
  <c r="C12" i="56" a="1"/>
  <c r="C17" i="56" a="1"/>
  <c r="C14" i="56" a="1"/>
  <c r="C6" i="56" a="1"/>
  <c r="C27" i="56" a="1"/>
  <c r="C35" i="56" a="1"/>
  <c r="C30" i="56" a="1"/>
  <c r="C26" i="56" a="1"/>
  <c r="C19" i="56" a="1"/>
  <c r="C28" i="56" a="1"/>
  <c r="C10" i="56" a="1"/>
  <c r="C33" i="56" a="1"/>
  <c r="C38" i="56" a="1"/>
  <c r="C24" i="56" a="1"/>
  <c r="C31" i="56" a="1"/>
  <c r="C20" i="56" a="1"/>
  <c r="C15" i="56" a="1"/>
  <c r="C9" i="56" a="1"/>
  <c r="C13" i="56" a="1"/>
  <c r="C25" i="56" a="1"/>
  <c r="C4" i="56" a="1"/>
  <c r="C8" i="56" a="1"/>
  <c r="C7" i="56" a="1"/>
  <c r="C32" i="56" a="1"/>
  <c r="C18" i="56" a="1"/>
  <c r="C22" i="56" a="1"/>
  <c r="C3" i="56" a="1"/>
  <c r="C21" i="56" a="1"/>
  <c r="C36" i="56" a="1"/>
  <c r="C16" i="56" a="1"/>
  <c r="C37" i="56" a="1"/>
  <c r="C5" i="56" a="1"/>
  <c r="C23" i="56" a="1"/>
  <c r="C11"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5" i="20" l="1"/>
  <c r="F66" i="20" s="1"/>
  <c r="AD10" i="22" l="1"/>
  <c r="AA10" i="22"/>
  <c r="W10" i="22"/>
  <c r="S10" i="22"/>
  <c r="AE67"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J34" i="26" l="1"/>
  <c r="J34" i="27"/>
  <c r="F2" i="41"/>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<sst xmlns="http://schemas.openxmlformats.org/spreadsheetml/2006/main" count="45610" uniqueCount="8738">
  <si>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</si>
  <si>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</si>
  <si>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</si>
  <si>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</si>
  <si>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</si>
  <si>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</si>
  <si>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</si>
  <si>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</si>
  <si>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</si>
  <si>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</si>
  <si>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</si>
  <si>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</si>
  <si>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</si>
  <si>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</si>
  <si>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</si>
  <si>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</si>
  <si>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</si>
  <si>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</si>
  <si>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</si>
  <si>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</si>
  <si>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</si>
  <si>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</si>
  <si>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</si>
  <si>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</si>
  <si>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</si>
  <si>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</si>
  <si>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</si>
  <si>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</si>
  <si>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</si>
  <si>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</si>
  <si>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</si>
  <si>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</si>
  <si>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</si>
  <si>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</si>
  <si>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</si>
  <si>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</si>
  <si>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</si>
  <si>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</si>
  <si>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</si>
  <si>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</si>
  <si>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</si>
  <si>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</si>
  <si>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</si>
  <si>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</si>
  <si>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</si>
  <si>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</si>
  <si>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</si>
  <si>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</si>
  <si>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</si>
  <si>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</si>
  <si>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</si>
  <si>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</si>
  <si>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</si>
  <si>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</si>
  <si>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</si>
  <si>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</si>
  <si>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</si>
  <si>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</si>
  <si>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</si>
  <si>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</si>
  <si>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</si>
  <si>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</si>
  <si>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</si>
  <si>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</si>
  <si>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</si>
  <si>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</si>
  <si>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</si>
  <si>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</si>
  <si>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</si>
  <si>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</si>
  <si>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</si>
  <si>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</si>
  <si>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</si>
  <si>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</si>
  <si>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</si>
  <si>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</si>
  <si>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</si>
  <si>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</si>
  <si>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</si>
  <si>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</si>
  <si>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</si>
  <si>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</si>
  <si>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</si>
  <si>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</si>
  <si>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</si>
  <si>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</si>
  <si>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</si>
  <si>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</si>
  <si>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</si>
  <si>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</si>
  <si>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</si>
  <si>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</si>
  <si>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</si>
  <si>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</si>
  <si>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</si>
  <si>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</si>
  <si>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</si>
  <si>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</si>
  <si>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</si>
  <si>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</si>
  <si>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</si>
  <si>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</si>
  <si>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</si>
  <si>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</si>
  <si>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</si>
  <si>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</si>
  <si>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</si>
  <si>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</si>
  <si>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</si>
  <si>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</si>
  <si>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</si>
  <si>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</si>
  <si>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</si>
  <si>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</si>
  <si>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</si>
  <si>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</si>
  <si>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</si>
  <si>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</si>
  <si>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</si>
  <si>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</si>
  <si>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</si>
  <si>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</si>
  <si>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</si>
  <si>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</si>
  <si>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</si>
  <si>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</si>
  <si>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</si>
  <si>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</si>
  <si>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</si>
  <si>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</si>
  <si>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</si>
  <si>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</si>
  <si>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</si>
  <si>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</si>
  <si>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</si>
  <si>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</si>
  <si>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</si>
  <si>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</si>
  <si>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</si>
  <si>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</si>
  <si>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</si>
  <si>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</si>
  <si>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</si>
  <si>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</si>
  <si>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</si>
  <si>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</si>
  <si>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</si>
  <si>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</si>
  <si>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</si>
  <si>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</si>
  <si>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</si>
  <si>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</si>
  <si>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</si>
  <si>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</si>
  <si>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</si>
  <si>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</si>
  <si>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</si>
  <si>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</si>
  <si>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</si>
  <si>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</si>
  <si>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</si>
  <si>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</si>
  <si>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</si>
  <si>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</si>
  <si>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</si>
  <si>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</si>
  <si>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</si>
  <si>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</si>
  <si>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</si>
  <si>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</si>
  <si>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</si>
  <si>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</si>
  <si>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</si>
  <si>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</si>
  <si>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</si>
  <si>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</si>
  <si>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</si>
  <si>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</si>
  <si>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</si>
  <si>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</si>
  <si>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</si>
  <si>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</si>
  <si>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</si>
  <si>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</si>
  <si>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</si>
  <si>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</si>
  <si>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</si>
  <si>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</si>
  <si>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</si>
  <si>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</si>
  <si>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</si>
  <si>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</si>
  <si>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</si>
  <si>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</si>
  <si>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</si>
  <si>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</si>
  <si>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</si>
  <si>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</si>
  <si>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</si>
  <si>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</si>
  <si>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</si>
  <si>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</si>
  <si>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</si>
  <si>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</si>
  <si>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</si>
  <si>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</si>
  <si>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</si>
  <si>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</si>
  <si>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</si>
  <si>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</si>
  <si>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</si>
  <si>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</si>
  <si>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</si>
  <si>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</si>
  <si>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</si>
  <si>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</si>
  <si>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</si>
  <si>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</si>
  <si>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</si>
  <si>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</si>
  <si>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</si>
  <si>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</si>
  <si>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</si>
  <si>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</si>
  <si>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</si>
  <si>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</si>
  <si>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</si>
  <si>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</si>
  <si>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</si>
  <si>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</si>
  <si>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</si>
  <si>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</si>
  <si>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</si>
  <si>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</si>
  <si>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</si>
  <si>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</si>
  <si>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</si>
  <si>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</si>
  <si>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</si>
  <si>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</si>
  <si>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</si>
  <si>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</si>
  <si>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</si>
  <si>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</si>
  <si>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</si>
  <si>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</si>
  <si>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</si>
  <si>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</si>
  <si>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</si>
  <si>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</si>
  <si>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</si>
  <si>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</si>
  <si>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</si>
  <si>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</si>
  <si>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</si>
  <si>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</si>
  <si>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</si>
  <si>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</si>
  <si>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</si>
  <si>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</si>
  <si>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</si>
  <si>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</si>
  <si>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</si>
  <si>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</si>
  <si>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</si>
  <si>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</si>
  <si>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</si>
  <si>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</si>
  <si>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</si>
  <si>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</si>
  <si>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</si>
  <si>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</si>
  <si>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</si>
  <si>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</si>
  <si>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</si>
  <si>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</si>
  <si>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</si>
  <si>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</si>
  <si>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</si>
  <si>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</si>
  <si>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</si>
  <si>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</si>
  <si>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</si>
  <si>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</si>
  <si>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</si>
  <si>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</si>
  <si>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</si>
  <si>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</si>
  <si>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</si>
  <si>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</si>
  <si>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</si>
  <si>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</si>
  <si>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</si>
  <si>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</si>
  <si>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</si>
  <si>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</si>
  <si>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</si>
  <si>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</si>
  <si>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</si>
  <si>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</si>
  <si>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</si>
  <si>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</si>
  <si>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</si>
  <si>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</si>
  <si>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</si>
  <si>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</si>
  <si>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</si>
  <si>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</si>
  <si>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</si>
  <si>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</si>
  <si>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</si>
  <si>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</si>
  <si>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</si>
  <si>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</si>
  <si>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</si>
  <si>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</si>
  <si>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</si>
  <si>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</si>
  <si>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</si>
  <si>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</si>
  <si>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</si>
  <si>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</si>
  <si>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</si>
  <si>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</si>
  <si>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</si>
  <si>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</si>
  <si>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</si>
  <si>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</si>
  <si>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</si>
  <si>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</si>
  <si>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</si>
  <si>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</si>
  <si>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</si>
  <si>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</si>
  <si>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</si>
  <si>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</si>
  <si>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</si>
  <si>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</si>
  <si>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</si>
  <si>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</si>
  <si>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</si>
  <si>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</si>
  <si>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</si>
  <si>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</si>
  <si>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</si>
  <si>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</si>
  <si>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</si>
  <si>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</si>
  <si>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</si>
  <si>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</si>
  <si>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</si>
  <si>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</si>
  <si>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</si>
  <si>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</si>
  <si>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</si>
  <si>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</si>
  <si>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</si>
  <si>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</si>
  <si>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</si>
  <si>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</si>
  <si>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</si>
  <si>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</si>
  <si>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</si>
  <si>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</si>
  <si>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</si>
  <si>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</si>
  <si>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</si>
  <si>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</si>
  <si>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</si>
  <si>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</si>
  <si>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</si>
  <si>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</si>
  <si>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</si>
  <si>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</si>
  <si>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</si>
  <si>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</si>
  <si>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</si>
  <si>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</si>
  <si>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</si>
  <si>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</si>
  <si>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</si>
  <si>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</si>
  <si>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</si>
  <si>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</si>
  <si>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</si>
  <si>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</si>
  <si>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</si>
  <si>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</si>
  <si>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</si>
  <si>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</si>
  <si>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</si>
  <si>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</si>
  <si>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</si>
  <si>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</si>
  <si>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</si>
  <si>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</si>
  <si>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</si>
  <si>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</si>
  <si>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</si>
  <si>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</si>
  <si>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</si>
  <si>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</si>
  <si>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</si>
  <si>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</si>
  <si>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</si>
  <si>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</si>
  <si>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</si>
  <si>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</si>
  <si>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</si>
  <si>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</si>
  <si>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</si>
  <si>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</si>
  <si>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</si>
  <si>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</si>
  <si>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</si>
  <si>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</si>
  <si>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</si>
  <si>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</si>
  <si>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</si>
  <si>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</si>
  <si>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</si>
  <si>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</si>
  <si>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</si>
  <si>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</si>
  <si>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</si>
  <si>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</si>
  <si>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</si>
  <si>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</si>
  <si>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</si>
  <si>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</si>
  <si>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</si>
  <si>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</si>
  <si>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</si>
  <si>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</si>
  <si>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</si>
  <si>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</si>
  <si>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</si>
  <si>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</si>
  <si>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</si>
  <si>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</si>
  <si>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</si>
  <si>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</si>
  <si>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</si>
  <si>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</si>
  <si>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</si>
  <si>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</si>
  <si>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</si>
  <si>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</si>
  <si>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</si>
  <si>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</si>
  <si>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</si>
  <si>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</si>
  <si>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</si>
  <si>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</si>
  <si>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</si>
  <si>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</si>
  <si>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</si>
  <si>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</si>
  <si>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</si>
  <si>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</si>
  <si>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</si>
  <si>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</si>
  <si>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</si>
  <si>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</si>
  <si>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</si>
  <si>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</si>
  <si>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</si>
  <si>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</si>
  <si>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</si>
  <si>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</si>
  <si>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</si>
  <si>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</si>
  <si>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</si>
  <si>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</si>
  <si>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</si>
  <si>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</si>
  <si>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</si>
  <si>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</si>
  <si>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</si>
  <si>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</si>
  <si>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</si>
  <si>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</si>
  <si>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</si>
  <si>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</si>
  <si>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</si>
  <si>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</si>
  <si>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</si>
  <si>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</si>
  <si>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</si>
  <si>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</si>
  <si>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</si>
  <si>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</si>
  <si>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</si>
  <si>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</si>
  <si>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</si>
  <si>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</si>
  <si>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</si>
  <si>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</si>
  <si>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</si>
  <si>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</si>
  <si>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</si>
  <si>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</si>
  <si>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</si>
  <si>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</si>
  <si>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</si>
  <si>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</si>
  <si>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</si>
  <si>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</si>
  <si>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</si>
  <si>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</si>
  <si>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</si>
  <si>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</si>
  <si>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</si>
  <si>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</si>
  <si>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</si>
  <si>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</si>
  <si>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</si>
  <si>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</si>
  <si>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</si>
  <si>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</si>
  <si>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</si>
  <si>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</si>
  <si>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</si>
  <si>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</si>
  <si>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</si>
  <si>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</si>
  <si>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</si>
  <si>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</si>
  <si>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</si>
  <si>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</si>
  <si>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</si>
  <si>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</si>
  <si>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</si>
  <si>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</si>
  <si>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</si>
  <si>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</si>
  <si>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</si>
  <si>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</si>
  <si>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</si>
  <si>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</si>
  <si>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</si>
  <si>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</si>
  <si>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</si>
  <si>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</si>
  <si>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</si>
  <si>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</si>
  <si>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</si>
  <si>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</si>
  <si>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</si>
  <si>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</si>
  <si>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</si>
  <si>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</si>
  <si>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</si>
  <si>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</si>
  <si>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</si>
  <si>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</si>
  <si>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</si>
  <si>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</si>
  <si>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</si>
  <si>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</si>
  <si>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</si>
  <si>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</si>
  <si>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</si>
  <si>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</si>
  <si>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</si>
  <si>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</si>
  <si>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</si>
  <si>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</si>
  <si>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</si>
  <si>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</si>
  <si>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</si>
  <si>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</si>
  <si>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</si>
  <si>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</si>
  <si>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</si>
  <si>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</si>
  <si>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</si>
  <si>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</si>
  <si>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</si>
  <si>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</si>
  <si>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</si>
  <si>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</si>
  <si>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</si>
  <si>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</si>
  <si>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</si>
  <si>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</si>
  <si>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</si>
  <si>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</si>
  <si>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</si>
  <si>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</si>
  <si>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</si>
  <si>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</si>
  <si>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</si>
  <si>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</si>
  <si>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</si>
  <si>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</si>
  <si>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</si>
  <si>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</si>
  <si>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</si>
  <si>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</si>
  <si>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</si>
  <si>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</si>
  <si>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</si>
  <si>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</si>
  <si>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</si>
  <si>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</si>
  <si>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</si>
  <si>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</si>
  <si>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</si>
  <si>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</si>
  <si>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</si>
  <si>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</si>
  <si>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</si>
  <si>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</si>
  <si>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</si>
  <si>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</si>
  <si>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</si>
  <si>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</si>
  <si>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</si>
  <si>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</si>
  <si>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</si>
  <si>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</si>
  <si>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</si>
  <si>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</si>
  <si>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</si>
  <si>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</si>
  <si>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</si>
  <si>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</si>
  <si>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</si>
  <si>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</si>
  <si>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</si>
  <si>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</si>
  <si>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</si>
  <si>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</si>
  <si>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</si>
  <si>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</si>
  <si>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</si>
  <si>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</si>
  <si>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</si>
  <si>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</si>
  <si>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</si>
  <si>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</si>
  <si>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</si>
  <si>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</si>
  <si>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</si>
  <si>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</si>
  <si>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</si>
  <si>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</si>
  <si>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</si>
  <si>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</si>
  <si>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</si>
  <si>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</si>
  <si>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</si>
  <si>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</si>
  <si>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</si>
  <si>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</si>
  <si>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</si>
  <si>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</si>
  <si>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</si>
  <si>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</si>
  <si>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</si>
  <si>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</si>
  <si>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</si>
  <si>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</si>
  <si>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</si>
  <si>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</si>
  <si>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</si>
  <si>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</si>
  <si>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</si>
  <si>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</si>
  <si>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</si>
  <si>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</si>
  <si>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</si>
  <si>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</si>
  <si>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</si>
  <si>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</si>
  <si>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</si>
  <si>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</si>
  <si>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</si>
  <si>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</si>
  <si>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</si>
  <si>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</si>
  <si>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</si>
  <si>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</si>
  <si>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</si>
  <si>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</si>
  <si>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</si>
  <si>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</si>
  <si>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</si>
  <si>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</si>
  <si>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</si>
  <si>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</si>
  <si>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</si>
  <si>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</si>
  <si>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</si>
  <si>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</si>
  <si>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</si>
  <si>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</si>
  <si>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</si>
  <si>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</si>
  <si>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</si>
  <si>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</si>
  <si>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</si>
  <si>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</si>
  <si>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</si>
  <si>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</si>
  <si>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</si>
  <si>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</si>
  <si>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</si>
  <si>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</si>
  <si>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</si>
  <si>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</si>
  <si>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</si>
  <si>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</si>
  <si>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</si>
  <si>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</si>
  <si>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</si>
  <si>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</si>
  <si>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</si>
  <si>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</si>
  <si>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</si>
  <si>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</si>
  <si>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</si>
  <si>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</si>
  <si>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</si>
  <si>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</si>
  <si>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</si>
  <si>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</si>
  <si>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</si>
  <si>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</si>
  <si>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</si>
  <si>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</si>
  <si>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</si>
  <si>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</si>
  <si>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</si>
  <si>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</si>
  <si>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</si>
  <si>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</si>
  <si>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</si>
  <si>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</si>
  <si>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</si>
  <si>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</si>
  <si>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</si>
  <si>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</si>
  <si>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</si>
  <si>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</si>
  <si>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</si>
  <si>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</si>
  <si>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</si>
  <si>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</si>
  <si>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</si>
  <si>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</si>
  <si>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</si>
  <si>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</si>
  <si>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</si>
  <si>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</si>
  <si>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</si>
  <si>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</si>
  <si>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</si>
  <si>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</si>
  <si>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</si>
  <si>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</si>
  <si>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</si>
  <si>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</si>
  <si>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</si>
  <si>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</si>
  <si>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</si>
  <si>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</si>
  <si>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</si>
  <si>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</si>
  <si>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</si>
  <si>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</si>
  <si>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</si>
  <si>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</si>
  <si>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</si>
  <si>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</si>
  <si>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</si>
  <si>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</si>
  <si>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</si>
  <si>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</si>
  <si>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</si>
  <si>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</si>
  <si>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</si>
  <si>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</si>
  <si>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</si>
  <si>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</si>
  <si>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</si>
  <si>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</si>
  <si>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</si>
  <si>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</si>
  <si>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</si>
  <si>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</si>
  <si>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</si>
  <si>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</si>
  <si>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</si>
  <si>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</si>
  <si>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</si>
  <si>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</si>
  <si>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</si>
  <si>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</si>
  <si>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</si>
  <si>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</si>
  <si>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</si>
  <si>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</si>
  <si>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</si>
  <si>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</si>
  <si>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</si>
  <si>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</si>
  <si>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</si>
  <si>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</si>
  <si>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</si>
  <si>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</si>
  <si>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</si>
  <si>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</si>
  <si>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</si>
  <si>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</si>
  <si>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</si>
  <si>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</si>
  <si>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</si>
  <si>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</si>
  <si>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</si>
  <si>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</si>
  <si>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</si>
  <si>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</si>
  <si>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</si>
  <si>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</si>
  <si>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</si>
  <si>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</si>
  <si>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</si>
  <si>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</si>
  <si>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</si>
  <si>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</si>
  <si>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</si>
  <si>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</si>
  <si>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</si>
  <si>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</si>
  <si>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</si>
  <si>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</si>
  <si>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</si>
  <si>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</si>
  <si>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</si>
  <si>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</si>
  <si>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</si>
  <si>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</si>
  <si>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</si>
  <si>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</si>
  <si>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</si>
  <si>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</si>
  <si>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</si>
  <si>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</si>
  <si>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</si>
  <si>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</si>
  <si>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</si>
  <si>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</si>
  <si>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</si>
  <si>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</si>
  <si>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</si>
  <si>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</si>
  <si>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</si>
  <si>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</si>
  <si>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</si>
  <si>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</si>
  <si>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</si>
  <si>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</si>
  <si>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</si>
  <si>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</si>
  <si>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</si>
  <si>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</si>
  <si>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</si>
  <si>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</si>
  <si>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</si>
  <si>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</si>
  <si>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</si>
  <si>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</si>
  <si>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</si>
  <si>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</si>
  <si>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</si>
  <si>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</si>
  <si>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</si>
  <si>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</si>
  <si>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</si>
  <si>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</si>
  <si>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</si>
  <si>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</si>
  <si>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</si>
  <si>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</si>
  <si>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</si>
  <si>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</si>
  <si>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</si>
  <si>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</si>
  <si>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</si>
  <si>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</si>
  <si>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</si>
  <si>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</si>
  <si>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</si>
  <si>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</si>
  <si>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</si>
  <si>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</si>
  <si>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</si>
  <si>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</si>
  <si>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</si>
  <si>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</si>
  <si>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</si>
  <si>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</si>
  <si>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</si>
  <si>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</si>
  <si>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</si>
  <si>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</si>
  <si>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</si>
  <si>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</si>
  <si>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</si>
  <si>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</si>
  <si>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</si>
  <si>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</si>
  <si>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</si>
  <si>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</si>
  <si>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</si>
  <si>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</si>
  <si>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</si>
  <si>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</si>
  <si>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</si>
  <si>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</si>
  <si>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</si>
  <si>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</si>
  <si>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</si>
  <si>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</si>
  <si>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</si>
  <si>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</si>
  <si>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</si>
  <si>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</si>
  <si>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</si>
  <si>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</si>
  <si>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</si>
  <si>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</si>
  <si>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</si>
  <si>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</si>
  <si>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</si>
  <si>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</si>
  <si>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</si>
  <si>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</si>
  <si>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</si>
  <si>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</si>
  <si>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</si>
  <si>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</si>
  <si>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</si>
  <si>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</si>
  <si>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</si>
  <si>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</si>
  <si>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</si>
  <si>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</si>
  <si>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</si>
  <si>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</si>
  <si>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</si>
  <si>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</si>
  <si>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</si>
  <si>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</si>
  <si>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</si>
  <si>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</si>
  <si>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</si>
  <si>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</si>
  <si>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</si>
  <si>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</si>
  <si>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</si>
  <si>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</si>
  <si>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</si>
  <si>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</si>
  <si>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</si>
  <si>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</si>
  <si>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</si>
  <si>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</si>
  <si>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</si>
  <si>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</si>
  <si>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</si>
  <si>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</si>
  <si>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</si>
  <si>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</si>
  <si>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</si>
  <si>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</si>
  <si>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</si>
  <si>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</si>
  <si>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</si>
  <si>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</si>
  <si>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</si>
  <si>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</si>
  <si>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</si>
  <si>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</si>
  <si>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</si>
  <si>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</si>
  <si>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</si>
  <si>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</si>
  <si>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</si>
  <si>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</si>
  <si>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</si>
  <si>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</si>
  <si>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</si>
  <si>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</si>
  <si>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</si>
  <si>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</si>
  <si>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</si>
  <si>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</si>
  <si>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</si>
  <si>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</si>
  <si>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</si>
  <si>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</si>
  <si>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</si>
  <si>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</si>
  <si>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</si>
  <si>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</si>
  <si>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</si>
  <si>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</si>
  <si>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</si>
  <si>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</si>
  <si>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</si>
  <si>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</si>
  <si>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</si>
  <si>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</si>
  <si>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</si>
  <si>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</si>
  <si>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</si>
  <si>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</si>
  <si>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</si>
  <si>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</si>
  <si>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</si>
  <si>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</si>
  <si>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</si>
  <si>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</si>
  <si>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</si>
  <si>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</si>
  <si>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</si>
  <si>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</si>
  <si>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</si>
  <si>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</si>
  <si>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</si>
  <si>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</si>
  <si>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</si>
  <si>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</si>
  <si>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</si>
  <si>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</si>
  <si>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</si>
  <si>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</si>
  <si>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</si>
  <si>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</si>
  <si>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</si>
  <si>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</si>
  <si>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</si>
  <si>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</si>
  <si>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</si>
  <si>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</si>
  <si>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</si>
  <si>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</si>
  <si>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</si>
  <si>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</si>
  <si>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</si>
  <si>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</si>
  <si>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</si>
  <si>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</si>
  <si>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</si>
  <si>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</si>
  <si>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</si>
  <si>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</si>
  <si>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</si>
  <si>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</si>
  <si>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</si>
  <si>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</si>
  <si>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</si>
  <si>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</si>
  <si>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</si>
  <si>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</si>
  <si>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</si>
  <si>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</si>
  <si>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</si>
  <si>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</si>
  <si>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</si>
  <si>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</si>
  <si>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</si>
  <si>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</si>
  <si>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</si>
  <si>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</si>
  <si>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</si>
  <si>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</si>
  <si>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</si>
  <si>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</si>
  <si>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</si>
  <si>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</si>
  <si>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</si>
  <si>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</si>
  <si>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</si>
  <si>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</si>
  <si>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</si>
  <si>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</si>
  <si>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</si>
  <si>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</si>
  <si>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</si>
  <si>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</si>
  <si>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</si>
  <si>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</si>
  <si>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</si>
  <si>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</si>
  <si>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</si>
  <si>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</si>
  <si>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</si>
  <si>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</si>
  <si>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</si>
  <si>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</si>
  <si>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</si>
  <si>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</si>
  <si>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</si>
  <si>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</si>
  <si>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</si>
  <si>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</si>
  <si>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</si>
  <si>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</si>
  <si>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</si>
  <si>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</si>
  <si>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</si>
  <si>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</si>
  <si>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</si>
  <si>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</si>
  <si>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</si>
  <si>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</si>
  <si>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</si>
  <si>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</si>
  <si>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</si>
  <si>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</si>
  <si>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</si>
  <si>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</si>
  <si>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</si>
  <si>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</si>
  <si>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</si>
  <si>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</si>
  <si>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</si>
  <si>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</si>
  <si>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</si>
  <si>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</si>
  <si>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</si>
  <si>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</si>
  <si>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</si>
  <si>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</si>
  <si>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</si>
  <si>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</si>
  <si>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</si>
  <si>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</si>
  <si>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</si>
  <si>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</si>
  <si>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</si>
  <si>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</si>
  <si>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</si>
  <si>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</si>
  <si>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</si>
  <si>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</si>
  <si>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</si>
  <si>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</si>
  <si>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</si>
  <si>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</si>
  <si>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</si>
  <si>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</si>
  <si>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</si>
  <si>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</si>
  <si>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</si>
  <si>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</si>
  <si>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</si>
  <si>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</si>
  <si>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</si>
  <si>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</si>
  <si>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</si>
  <si>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</si>
  <si>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</si>
  <si>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</si>
  <si>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</si>
  <si>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</si>
  <si>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</si>
  <si>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</si>
  <si>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</si>
  <si>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</si>
  <si>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</si>
  <si>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</si>
  <si>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</si>
  <si>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</si>
  <si>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</si>
  <si>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</si>
  <si>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</si>
  <si>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</si>
  <si>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</si>
  <si>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</si>
  <si>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</si>
  <si>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</si>
  <si>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</si>
  <si>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</si>
  <si>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</si>
  <si>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</si>
  <si>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</si>
  <si>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</si>
  <si>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</si>
  <si>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</si>
  <si>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</si>
  <si>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</si>
  <si>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</si>
  <si>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</si>
  <si>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</si>
  <si>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</si>
  <si>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</si>
  <si>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</si>
  <si>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</si>
  <si>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</si>
  <si>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</si>
  <si>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</si>
  <si>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</si>
  <si>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</si>
  <si>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</si>
  <si>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</si>
  <si>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</si>
  <si>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</si>
  <si>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</si>
  <si>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</si>
  <si>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</si>
  <si>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</si>
  <si>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</si>
  <si>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</si>
  <si>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</si>
  <si>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</si>
  <si>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</si>
  <si>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</si>
  <si>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</si>
  <si>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</si>
  <si>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</si>
  <si>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</si>
  <si>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</si>
  <si>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</si>
  <si>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</si>
  <si>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</si>
  <si>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</si>
  <si>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</si>
  <si>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</si>
  <si>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</si>
  <si>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</si>
  <si>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</si>
  <si>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</si>
  <si>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</si>
  <si>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</si>
  <si>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</si>
  <si>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</si>
  <si>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</si>
  <si>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</si>
  <si>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</si>
  <si>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</si>
  <si>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</si>
  <si>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</si>
  <si>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</si>
  <si>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</si>
  <si>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</si>
  <si>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</si>
  <si>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</si>
  <si>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</si>
  <si>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</si>
  <si>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</si>
  <si>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</si>
  <si>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</si>
  <si>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</si>
  <si>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</si>
  <si>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</si>
  <si>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</si>
  <si>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</si>
  <si>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</si>
  <si>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</si>
  <si>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</si>
  <si>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</si>
  <si>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</si>
  <si>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</si>
  <si>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</si>
  <si>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</si>
  <si>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</si>
  <si>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</si>
  <si>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</si>
  <si>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</si>
  <si>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</si>
  <si>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</si>
  <si>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</si>
  <si>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</si>
  <si>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</si>
  <si>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</si>
  <si>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</si>
  <si>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</si>
  <si>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</si>
  <si>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</si>
  <si>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</si>
  <si>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</si>
  <si>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</si>
  <si>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</si>
  <si>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</si>
  <si>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</si>
  <si>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</si>
  <si>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</si>
  <si>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</si>
  <si>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</si>
  <si>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</si>
  <si>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</si>
  <si>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</si>
  <si>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</si>
  <si>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</si>
  <si>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</si>
  <si>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</si>
  <si>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</si>
  <si>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</si>
  <si>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</si>
  <si>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</si>
  <si>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</si>
  <si>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</si>
  <si>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</si>
  <si>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</si>
  <si>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</si>
  <si>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</si>
  <si>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</si>
  <si>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</si>
  <si>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</si>
  <si>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</si>
  <si>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</si>
  <si>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</si>
  <si>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</si>
  <si>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</si>
  <si>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</si>
  <si>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</si>
  <si>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</si>
  <si>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</si>
  <si>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</si>
  <si>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</si>
  <si>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</si>
  <si>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</si>
  <si>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</si>
  <si>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</si>
  <si>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</si>
  <si>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</si>
  <si>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</si>
  <si>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</si>
  <si>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</si>
  <si>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</si>
  <si>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</si>
  <si>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</si>
  <si>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</si>
  <si>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</si>
  <si>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</si>
  <si>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</si>
  <si>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</si>
  <si>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</si>
  <si>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</si>
  <si>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</si>
  <si>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</si>
  <si>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</si>
  <si>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</si>
  <si>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</si>
  <si>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</si>
  <si>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</si>
  <si>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</si>
  <si>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</si>
  <si>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</si>
  <si>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</si>
  <si>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</si>
  <si>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</si>
  <si>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</si>
  <si>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</si>
  <si>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</si>
  <si>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</si>
  <si>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</si>
  <si>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</si>
  <si>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</si>
  <si>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</si>
  <si>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</si>
  <si>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</si>
  <si>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</si>
  <si>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</si>
  <si>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</si>
  <si>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</si>
  <si>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</si>
  <si>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</si>
  <si>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</si>
  <si>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</si>
  <si>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</si>
  <si>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</si>
  <si>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</si>
  <si>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</si>
  <si>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</si>
  <si>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</si>
  <si>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</si>
  <si>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</si>
  <si>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</si>
  <si>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</si>
  <si>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</si>
  <si>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</si>
  <si>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</si>
  <si>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</si>
  <si>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</si>
  <si>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</si>
  <si>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</si>
  <si>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</si>
  <si>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</si>
  <si>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</si>
  <si>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</si>
  <si>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</si>
  <si>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</si>
  <si>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</si>
  <si>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</si>
  <si>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</si>
  <si>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</si>
  <si>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</si>
  <si>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</si>
  <si>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</si>
  <si>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</si>
  <si>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</si>
  <si>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</si>
  <si>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</si>
  <si>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</si>
  <si>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</si>
  <si>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</si>
  <si>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</si>
  <si>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</si>
  <si>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</si>
  <si>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</si>
  <si>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</si>
  <si>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</si>
  <si>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</si>
  <si>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</si>
  <si>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</si>
  <si>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</si>
  <si>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</si>
  <si>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</si>
  <si>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</si>
  <si>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</si>
  <si>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</si>
  <si>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</si>
  <si>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</si>
  <si>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</si>
  <si>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</si>
  <si>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</si>
  <si>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</si>
  <si>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</si>
  <si>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</si>
  <si>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</si>
  <si>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</si>
  <si>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</si>
  <si>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</si>
  <si>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</si>
  <si>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</si>
  <si>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</si>
  <si>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</si>
  <si>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</si>
  <si>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</si>
  <si>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</si>
  <si>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</si>
  <si>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</si>
  <si>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</si>
  <si>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</si>
  <si>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</si>
  <si>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</si>
  <si>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</si>
  <si>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</si>
  <si>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</si>
  <si>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</si>
  <si>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</si>
  <si>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</si>
  <si>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</si>
  <si>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</si>
  <si>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</si>
  <si>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</si>
  <si>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</si>
  <si>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</si>
  <si>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</si>
  <si>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</si>
  <si>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</si>
  <si>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</si>
  <si>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</si>
  <si>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</si>
  <si>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</si>
  <si>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</si>
  <si>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</si>
  <si>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</si>
  <si>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</si>
  <si>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</si>
  <si>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</si>
  <si>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</si>
  <si>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</si>
  <si>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</si>
  <si>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</si>
  <si>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</si>
  <si>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</si>
  <si>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</si>
  <si>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</si>
  <si>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</si>
  <si>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</si>
  <si>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</si>
  <si>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</si>
  <si>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</si>
  <si>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</si>
  <si>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</si>
  <si>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</si>
  <si>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</si>
  <si>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</si>
  <si>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</si>
  <si>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</si>
  <si>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</si>
  <si>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</si>
  <si>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</si>
  <si>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</si>
  <si>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</si>
  <si>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</si>
  <si>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</si>
  <si>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</si>
  <si>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</si>
  <si>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</si>
  <si>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</si>
  <si>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</si>
  <si>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</si>
  <si>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</si>
  <si>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</si>
  <si>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</si>
  <si>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</si>
  <si>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</si>
  <si>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</si>
  <si>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</si>
  <si>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</si>
  <si>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</si>
  <si>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</si>
  <si>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</si>
  <si>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</si>
  <si>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</si>
  <si>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</si>
  <si>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</si>
  <si>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</si>
  <si>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</si>
  <si>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</si>
  <si>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</si>
  <si>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</si>
  <si>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</si>
  <si>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</si>
  <si>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</si>
  <si>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</si>
  <si>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</si>
  <si>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</si>
  <si>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</si>
  <si>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</si>
  <si>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</si>
  <si>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</si>
  <si>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</si>
  <si>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</si>
  <si>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</si>
  <si>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</si>
  <si>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</si>
  <si>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</si>
  <si>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</si>
  <si>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</si>
  <si>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</si>
  <si>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</si>
  <si>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</si>
  <si>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</si>
  <si>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</si>
  <si>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</si>
  <si>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</si>
  <si>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</si>
  <si>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</si>
  <si>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</si>
  <si>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</si>
  <si>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</si>
  <si>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</si>
  <si>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</si>
  <si>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</si>
  <si>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</si>
  <si>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</si>
  <si>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</si>
  <si>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</si>
  <si>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</si>
  <si>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</si>
  <si>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</si>
  <si>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</si>
  <si>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</si>
  <si>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</si>
  <si>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</si>
  <si>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</si>
  <si>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</si>
  <si>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</si>
  <si>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</si>
  <si>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</si>
  <si>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</si>
  <si>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</si>
  <si>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</si>
  <si>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</si>
  <si>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</si>
  <si>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</si>
  <si>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</si>
  <si>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</si>
  <si>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</si>
  <si>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</si>
  <si>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</si>
  <si>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</si>
  <si>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</si>
  <si>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</si>
  <si>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</si>
  <si>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</si>
  <si>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</si>
  <si>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</si>
  <si>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</si>
  <si>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</si>
  <si>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</si>
  <si>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</si>
  <si>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</si>
  <si>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</si>
  <si>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</si>
  <si>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</si>
  <si>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</si>
  <si>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</si>
  <si>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</si>
  <si>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</si>
  <si>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</si>
  <si>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</si>
  <si>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</si>
  <si>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</si>
  <si>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</si>
  <si>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</si>
  <si>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</si>
  <si>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</si>
  <si>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</si>
  <si>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</si>
  <si>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</si>
  <si>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</si>
  <si>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</si>
  <si>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</si>
  <si>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</si>
  <si>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</si>
  <si>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</si>
  <si>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</si>
  <si>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</si>
  <si>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</si>
  <si>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</si>
  <si>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</si>
  <si>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</si>
  <si>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</si>
  <si>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</si>
  <si>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</si>
  <si>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</si>
  <si>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</si>
  <si>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</si>
  <si>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</si>
  <si>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</si>
  <si>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</si>
  <si>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</si>
  <si>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</si>
  <si>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</si>
  <si>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</si>
  <si>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</si>
  <si>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</si>
  <si>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</si>
  <si>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</si>
  <si>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</si>
  <si>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</si>
  <si>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</si>
  <si>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</si>
  <si>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</si>
  <si>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</si>
  <si>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</si>
  <si>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</si>
  <si>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</si>
  <si>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</si>
  <si>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</si>
  <si>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</si>
  <si>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</si>
  <si>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</si>
  <si>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</si>
  <si>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</si>
  <si>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</si>
  <si>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</si>
  <si>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</si>
  <si>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</si>
  <si>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</si>
  <si>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</si>
  <si>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</si>
  <si>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</si>
  <si>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</si>
  <si>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</si>
  <si>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</si>
  <si>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</si>
  <si>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</si>
  <si>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</si>
  <si>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</si>
  <si>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</si>
  <si>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</si>
  <si>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</si>
  <si>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</si>
  <si>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</si>
  <si>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</si>
  <si>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</si>
  <si>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</si>
  <si>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</si>
  <si>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</si>
  <si>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</si>
  <si>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</si>
  <si>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</si>
  <si>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</si>
  <si>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</si>
  <si>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</si>
  <si>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</si>
  <si>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</si>
  <si>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</si>
  <si>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</si>
  <si>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</si>
  <si>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</si>
  <si>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</si>
  <si>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</si>
  <si>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</si>
  <si>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</si>
  <si>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</si>
  <si>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</si>
  <si>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</si>
  <si>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</si>
  <si>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</si>
  <si>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</si>
  <si>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</si>
  <si>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</si>
  <si>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</si>
  <si>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</si>
  <si>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</si>
  <si>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</si>
  <si>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</si>
  <si>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</si>
  <si>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</si>
  <si>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</si>
  <si>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</si>
  <si>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</si>
  <si>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</si>
  <si>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</si>
  <si>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</si>
  <si>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</si>
  <si>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</si>
  <si>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</si>
  <si>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</si>
  <si>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</si>
  <si>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</si>
  <si>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</si>
  <si>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</si>
  <si>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</si>
  <si>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</si>
  <si>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</si>
  <si>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</si>
  <si>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</si>
  <si>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</si>
  <si>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</si>
  <si>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</si>
  <si>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</si>
  <si>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</si>
  <si>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</si>
  <si>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</si>
  <si>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</si>
  <si>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</si>
  <si>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</si>
  <si>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</si>
  <si>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</si>
  <si>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</si>
  <si>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</si>
  <si>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</si>
  <si>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</si>
  <si>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</si>
  <si>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</si>
  <si>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</si>
  <si>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</si>
  <si>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</si>
  <si>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</si>
  <si>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</si>
  <si>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</si>
  <si>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</si>
  <si>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</si>
  <si>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</si>
  <si>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</si>
  <si>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</si>
  <si>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</si>
  <si>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</si>
  <si>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</si>
  <si>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</si>
  <si>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</si>
  <si>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</si>
  <si>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</si>
  <si>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</si>
  <si>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</si>
  <si>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</si>
  <si>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</si>
  <si>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</si>
  <si>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</si>
  <si>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</si>
  <si>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</si>
  <si>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</si>
  <si>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</si>
  <si>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</si>
  <si>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</si>
  <si>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</si>
  <si>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</si>
  <si>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</si>
  <si>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</si>
  <si>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</si>
  <si>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</si>
  <si>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</si>
  <si>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</si>
  <si>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</si>
  <si>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</si>
  <si>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</si>
  <si>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</si>
  <si>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</si>
  <si>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</si>
  <si>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</si>
  <si>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</si>
  <si>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</si>
  <si>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</si>
  <si>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</si>
  <si>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</si>
  <si>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</si>
  <si>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</si>
  <si>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</si>
  <si>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</si>
  <si>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</si>
  <si>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</si>
  <si>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</si>
  <si>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</si>
  <si>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</si>
  <si>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</si>
  <si>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</si>
  <si>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</si>
  <si>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</si>
  <si>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</si>
  <si>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</si>
  <si>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</si>
  <si>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</si>
  <si>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</si>
  <si>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</si>
  <si>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</si>
  <si>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</si>
  <si>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</si>
  <si>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</si>
  <si>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</si>
  <si>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</si>
  <si>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</si>
  <si>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</si>
  <si>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</si>
  <si>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</si>
  <si>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</si>
  <si>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</si>
  <si>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</si>
  <si>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</si>
  <si>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</si>
  <si>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</si>
  <si>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</si>
  <si>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</si>
  <si>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</si>
  <si>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</si>
  <si>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</si>
  <si>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</si>
  <si>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</si>
  <si>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</si>
  <si>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</si>
  <si>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</si>
  <si>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</si>
  <si>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</si>
  <si>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</si>
  <si>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</si>
  <si>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</si>
  <si>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</si>
  <si>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</si>
  <si>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</si>
  <si>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</si>
  <si>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</si>
  <si>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</si>
  <si>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</si>
  <si>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</si>
  <si>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</si>
  <si>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</si>
  <si>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</si>
  <si>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</si>
  <si>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</si>
  <si>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</si>
  <si>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</si>
  <si>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</si>
  <si>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</si>
  <si>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</si>
  <si>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</si>
  <si>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</si>
  <si>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</si>
  <si>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</si>
  <si>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</si>
  <si>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</si>
  <si>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</si>
  <si>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</si>
  <si>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</si>
  <si>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</si>
  <si>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</si>
  <si>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</si>
  <si>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</si>
  <si>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</si>
  <si>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</si>
  <si>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</si>
  <si>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</si>
  <si>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</si>
  <si>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</si>
  <si>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</si>
  <si>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</si>
  <si>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</si>
  <si>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</si>
  <si>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</si>
  <si>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</si>
  <si>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</si>
  <si>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</si>
  <si>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</si>
  <si>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</si>
  <si>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</si>
  <si>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</si>
  <si>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</si>
  <si>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</si>
  <si>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</si>
  <si>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</si>
  <si>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</si>
  <si>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</si>
  <si>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</si>
  <si>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</si>
  <si>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</si>
  <si>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</si>
  <si>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</si>
  <si>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</si>
  <si>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</si>
  <si>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</si>
  <si>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</si>
  <si>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</si>
  <si>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</si>
  <si>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</si>
  <si>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</si>
  <si>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</si>
  <si>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</si>
  <si>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</si>
  <si>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</si>
  <si>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</si>
  <si>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</si>
  <si>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</si>
  <si>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</si>
  <si>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</si>
  <si>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</si>
  <si>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</si>
  <si>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</si>
  <si>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</si>
  <si>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</si>
  <si>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</si>
  <si>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</si>
  <si>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</si>
  <si>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</si>
  <si>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</si>
  <si>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</si>
  <si>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</si>
  <si>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</si>
  <si>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</si>
  <si>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</si>
  <si>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</si>
  <si>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</si>
  <si>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</si>
  <si>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</si>
  <si>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</si>
  <si>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</si>
  <si>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</si>
  <si>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</si>
  <si>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</si>
  <si>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</si>
  <si>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</si>
  <si>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</si>
  <si>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</si>
  <si>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</si>
  <si>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</si>
  <si>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</si>
  <si>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</si>
  <si>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</si>
  <si>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</si>
  <si>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</si>
  <si>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</si>
  <si>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</si>
  <si>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</si>
  <si>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</si>
  <si>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</si>
  <si>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</si>
  <si>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</si>
  <si>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</si>
  <si>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</si>
  <si>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</si>
  <si>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</si>
  <si>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</si>
  <si>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</si>
  <si>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</si>
  <si>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</si>
  <si>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</si>
  <si>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</si>
  <si>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</si>
  <si>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</si>
  <si>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</si>
  <si>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</si>
  <si>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</si>
  <si>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</si>
  <si>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</si>
  <si>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</si>
  <si>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</si>
  <si>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</si>
  <si>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</si>
  <si>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</si>
  <si>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</si>
  <si>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</si>
  <si>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</si>
  <si>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</si>
  <si>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</si>
  <si>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</si>
  <si>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</si>
  <si>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</si>
  <si>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</si>
  <si>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</si>
  <si>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</si>
  <si>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</si>
  <si>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</si>
  <si>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</si>
  <si>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</si>
  <si>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</si>
  <si>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</si>
  <si>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</si>
  <si>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</si>
  <si>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</si>
  <si>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</si>
  <si>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</si>
  <si>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</si>
  <si>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</si>
  <si>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</si>
  <si>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</si>
  <si>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</si>
  <si>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</si>
  <si>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</si>
  <si>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</si>
  <si>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</si>
  <si>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</si>
  <si>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</si>
  <si>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</si>
  <si>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</si>
  <si>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</si>
  <si>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</si>
  <si>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</si>
  <si>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</si>
  <si>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</si>
  <si>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</si>
  <si>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</si>
  <si>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</si>
  <si>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</si>
  <si>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</si>
  <si>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</si>
  <si>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</si>
  <si>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</si>
  <si>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</si>
  <si>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</si>
  <si>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</si>
  <si>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</si>
  <si>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</si>
  <si>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</si>
  <si>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</si>
  <si>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</si>
  <si>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</si>
  <si>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</si>
  <si>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</si>
  <si>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</si>
  <si>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</si>
  <si>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</si>
  <si>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</si>
  <si>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</si>
  <si>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</si>
  <si>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</si>
  <si>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</si>
  <si>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</si>
  <si>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</si>
  <si>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</si>
  <si>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</si>
  <si>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</si>
  <si>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</si>
  <si>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</si>
  <si>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</si>
  <si>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</si>
  <si>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</si>
  <si>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</si>
  <si>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</si>
  <si>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</si>
  <si>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</si>
  <si>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</si>
  <si>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</si>
  <si>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</si>
  <si>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</si>
  <si>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</si>
  <si>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</si>
  <si>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</si>
  <si>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</si>
  <si>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</si>
  <si>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</si>
  <si>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</si>
  <si>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</si>
  <si>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</si>
  <si>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</si>
  <si>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</si>
  <si>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</si>
  <si>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</si>
  <si>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</si>
  <si>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</si>
  <si>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</si>
  <si>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</si>
  <si>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</si>
  <si>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</si>
  <si>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</si>
  <si>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</si>
  <si>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</si>
  <si>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</si>
  <si>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</si>
  <si>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</si>
  <si>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</si>
  <si>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</si>
  <si>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</si>
  <si>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</si>
  <si>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</si>
  <si>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</si>
  <si>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</si>
  <si>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</si>
  <si>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</si>
  <si>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</si>
  <si>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</si>
  <si>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</si>
  <si>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</si>
  <si>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</si>
  <si>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</si>
  <si>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</si>
  <si>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</si>
  <si>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</si>
  <si>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</si>
  <si>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</si>
  <si>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</si>
  <si>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</si>
  <si>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</si>
  <si>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</si>
  <si>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</si>
  <si>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</si>
  <si>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</si>
  <si>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</si>
  <si>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</si>
  <si>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</si>
  <si>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</si>
  <si>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</si>
  <si>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</si>
  <si>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</si>
  <si>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</si>
  <si>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</si>
  <si>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</si>
  <si>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</si>
  <si>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</si>
  <si>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</si>
  <si>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</si>
  <si>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</si>
  <si>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</si>
  <si>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</si>
  <si>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</si>
  <si>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</si>
  <si>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</si>
  <si>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</si>
  <si>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</si>
  <si>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</si>
  <si>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</si>
  <si>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</si>
  <si>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</si>
  <si>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</si>
  <si>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</si>
  <si>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</si>
  <si>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</si>
  <si>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</si>
  <si>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</si>
  <si>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</si>
  <si>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</si>
  <si>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</si>
  <si>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</si>
  <si>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</si>
  <si>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</si>
  <si>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</si>
  <si>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</si>
  <si>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</si>
  <si>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</si>
  <si>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</si>
  <si>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</si>
  <si>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</si>
  <si>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</si>
  <si>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</si>
  <si>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</si>
  <si>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</si>
  <si>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</si>
  <si>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</si>
  <si>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</si>
  <si>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</si>
  <si>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</si>
  <si>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</si>
  <si>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</si>
  <si>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</si>
  <si>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</si>
  <si>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</si>
  <si>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</si>
  <si>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</si>
  <si>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</si>
  <si>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</si>
  <si>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</si>
  <si>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</si>
  <si>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</si>
  <si>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</si>
  <si>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</si>
  <si>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</si>
  <si>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</si>
  <si>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</si>
  <si>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</si>
  <si>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</si>
  <si>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</si>
  <si>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</si>
  <si>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</si>
  <si>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</si>
  <si>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</si>
  <si>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</si>
  <si>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</si>
  <si>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</si>
  <si>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</si>
  <si>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</si>
  <si>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</si>
  <si>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</si>
  <si>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</si>
  <si>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</si>
  <si>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</si>
  <si>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</si>
  <si>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</si>
  <si>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</si>
  <si>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</si>
  <si>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</si>
  <si>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</si>
  <si>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</si>
  <si>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</si>
  <si>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</si>
  <si>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</si>
  <si>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</si>
  <si>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</si>
  <si>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</si>
  <si>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</si>
  <si>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</si>
  <si>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</si>
  <si>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</si>
  <si>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</si>
  <si>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</si>
  <si>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</si>
  <si>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</si>
  <si>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</si>
  <si>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</si>
  <si>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</si>
  <si>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</si>
  <si>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</si>
  <si>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</si>
  <si>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</si>
  <si>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</si>
  <si>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</si>
  <si>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</si>
  <si>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</si>
  <si>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</si>
  <si>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</si>
  <si>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</si>
  <si>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</si>
  <si>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</si>
  <si>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</si>
  <si>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</si>
  <si>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</si>
  <si>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</si>
  <si>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</si>
  <si>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</si>
  <si>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</si>
  <si>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</si>
  <si>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</si>
  <si>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</si>
  <si>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</si>
  <si>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</si>
  <si>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</si>
  <si>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</si>
  <si>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</si>
  <si>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</si>
  <si>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</si>
  <si>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</si>
  <si>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</si>
  <si>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</si>
  <si>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</si>
  <si>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</si>
  <si>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</si>
  <si>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</si>
  <si>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</si>
  <si>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</si>
  <si>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</si>
  <si>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</si>
  <si>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</si>
  <si>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</si>
  <si>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</si>
  <si>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</si>
  <si>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</si>
  <si>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</si>
  <si>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</si>
  <si>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</si>
  <si>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</si>
  <si>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</si>
  <si>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</si>
  <si>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</si>
  <si>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</si>
  <si>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</si>
  <si>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</si>
  <si>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</si>
  <si>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</si>
  <si>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</si>
  <si>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</si>
  <si>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</si>
  <si>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</si>
  <si>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</si>
  <si>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</si>
  <si>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</si>
  <si>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</si>
  <si>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</si>
  <si>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</si>
  <si>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</si>
  <si>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</si>
  <si>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</si>
  <si>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</si>
  <si>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</si>
  <si>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</si>
  <si>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</si>
  <si>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</si>
  <si>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</si>
  <si>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</si>
  <si>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</si>
  <si>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</si>
  <si>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</si>
  <si>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</si>
  <si>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</si>
  <si>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</si>
  <si>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</si>
  <si>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</si>
  <si>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</si>
  <si>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</si>
  <si>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</si>
  <si>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</si>
  <si>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</si>
  <si>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</si>
  <si>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</si>
  <si>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</si>
  <si>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</si>
  <si>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</si>
  <si>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</si>
  <si>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</si>
  <si>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</si>
  <si>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</si>
  <si>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</si>
  <si>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</si>
  <si>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</si>
  <si>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</si>
  <si>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</si>
  <si>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</si>
  <si>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</si>
  <si>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</si>
  <si>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</si>
  <si>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</si>
  <si>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</si>
  <si>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</si>
  <si>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</si>
  <si>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</si>
  <si>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</si>
  <si>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</si>
  <si>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</si>
  <si>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</si>
  <si>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</si>
  <si>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</si>
  <si>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</si>
  <si>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</si>
  <si>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</si>
  <si>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</si>
  <si>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</si>
  <si>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</si>
  <si>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</si>
  <si>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</si>
  <si>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</si>
  <si>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</si>
  <si>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</si>
  <si>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</si>
  <si>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</si>
  <si>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</si>
  <si>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</si>
  <si>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</si>
  <si>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</si>
  <si>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</si>
  <si>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</si>
  <si>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</si>
  <si>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</si>
  <si>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</si>
  <si>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</si>
  <si>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</si>
  <si>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</si>
  <si>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</si>
  <si>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</si>
  <si>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</si>
  <si>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</si>
  <si>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</si>
  <si>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</si>
  <si>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</si>
  <si>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</si>
  <si>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</si>
  <si>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</si>
  <si>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</si>
  <si>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</si>
  <si>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</si>
  <si>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</si>
  <si>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</si>
  <si>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</si>
  <si>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</si>
  <si>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</si>
  <si>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</si>
  <si>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</si>
  <si>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</si>
  <si>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</si>
  <si>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</si>
  <si>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</si>
  <si>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</si>
  <si>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</si>
  <si>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</si>
  <si>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</si>
  <si>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</si>
  <si>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</si>
  <si>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</si>
  <si>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</si>
  <si>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</si>
  <si>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</si>
  <si>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</si>
  <si>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</si>
  <si>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</si>
  <si>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</si>
  <si>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</si>
  <si>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</si>
  <si>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</si>
  <si>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</si>
  <si>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</si>
  <si>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</si>
  <si>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</si>
  <si>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</si>
  <si>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</si>
  <si>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</si>
  <si>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</si>
  <si>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</si>
  <si>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</si>
  <si>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</si>
  <si>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</si>
  <si>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</si>
  <si>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</si>
  <si>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</si>
  <si>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</si>
  <si>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</si>
  <si>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</si>
  <si>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</si>
  <si>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</si>
  <si>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</si>
  <si>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</si>
  <si>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</si>
  <si>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</si>
  <si>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</si>
  <si>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</si>
  <si>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</si>
  <si>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</si>
  <si>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</si>
  <si>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</si>
  <si>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</si>
  <si>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</si>
  <si>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</si>
  <si>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</si>
  <si>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</si>
  <si>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</si>
  <si>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</si>
  <si>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</si>
  <si>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</si>
  <si>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</si>
  <si>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</si>
  <si>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</si>
  <si>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</si>
  <si>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</si>
  <si>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</si>
  <si>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</si>
  <si>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</si>
  <si>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</si>
  <si>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</si>
  <si>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</si>
  <si>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</si>
  <si>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</si>
  <si>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</si>
  <si>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</si>
  <si>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</si>
  <si>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</si>
  <si>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</si>
  <si>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</si>
  <si>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</si>
  <si>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</si>
  <si>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</si>
  <si>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</si>
  <si>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</si>
  <si>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</si>
  <si>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</si>
  <si>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</si>
  <si>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</si>
  <si>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</si>
  <si>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</si>
  <si>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</si>
  <si>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</si>
  <si>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</si>
  <si>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</si>
  <si>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</si>
  <si>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</si>
  <si>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</si>
  <si>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</si>
  <si>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</si>
  <si>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</si>
  <si>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</si>
  <si>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</si>
  <si>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</si>
  <si>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</si>
  <si>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</si>
  <si>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</si>
  <si>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</si>
  <si>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</si>
  <si>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</si>
  <si>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</si>
  <si>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</si>
  <si>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</si>
  <si>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</si>
  <si>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</si>
  <si>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</si>
  <si>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</si>
  <si>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</si>
  <si>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</si>
  <si>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</si>
  <si>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</si>
  <si>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</si>
  <si>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</si>
  <si>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</si>
  <si>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</si>
  <si>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</si>
  <si>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</si>
  <si>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</si>
  <si>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</si>
  <si>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</si>
  <si>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</si>
  <si>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</si>
  <si>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</si>
  <si>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</si>
  <si>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</si>
  <si>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</si>
  <si>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</si>
  <si>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</si>
  <si>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</si>
  <si>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</si>
  <si>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</si>
  <si>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</si>
  <si>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</si>
  <si>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</si>
  <si>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</si>
  <si>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</si>
  <si>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</si>
  <si>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</si>
  <si>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</si>
  <si>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</si>
  <si>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</si>
  <si>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</si>
  <si>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</si>
  <si>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</si>
  <si>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</si>
  <si>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</si>
  <si>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</si>
  <si>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</si>
  <si>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</si>
  <si>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</si>
  <si>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</si>
  <si>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</si>
  <si>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</si>
  <si>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</si>
  <si>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</si>
  <si>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</si>
  <si>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</si>
  <si>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</si>
  <si>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</si>
  <si>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</si>
  <si>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</si>
  <si>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</si>
  <si>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</si>
  <si>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</si>
  <si>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</si>
  <si>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</si>
  <si>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</si>
  <si>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</si>
  <si>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</si>
  <si>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</si>
  <si>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</si>
  <si>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</si>
  <si>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</si>
  <si>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</si>
  <si>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</si>
  <si>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</si>
  <si>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</si>
  <si>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</si>
  <si>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</si>
  <si>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</si>
  <si>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</si>
  <si>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</si>
  <si>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</si>
  <si>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</si>
  <si>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</si>
  <si>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</si>
  <si>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</si>
  <si>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</si>
  <si>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</si>
  <si>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</si>
  <si>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</si>
  <si>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</si>
  <si>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</si>
  <si>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</si>
  <si>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</si>
  <si>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</si>
  <si>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</si>
  <si>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</si>
  <si>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</si>
  <si>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</si>
  <si>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</si>
  <si>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</si>
  <si>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</si>
  <si>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</si>
  <si>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</si>
  <si>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</si>
  <si>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</si>
  <si>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</si>
  <si>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</si>
  <si>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</si>
  <si>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</si>
  <si>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</si>
  <si>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</si>
  <si>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</si>
  <si>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</si>
  <si>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</si>
  <si>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</si>
  <si>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</si>
  <si>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</si>
  <si>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</si>
  <si>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</si>
  <si>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</si>
  <si>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</si>
  <si>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</si>
  <si>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</si>
  <si>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</si>
  <si>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</si>
  <si>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</si>
  <si>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</si>
  <si>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</si>
  <si>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</si>
  <si>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</si>
  <si>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</si>
  <si>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</si>
  <si>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</si>
  <si>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</si>
  <si>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</si>
  <si>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</si>
  <si>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</si>
  <si>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</si>
  <si>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</si>
  <si>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</si>
  <si>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</si>
  <si>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</si>
  <si>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</si>
  <si>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</si>
  <si>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</si>
  <si>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</si>
  <si>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</si>
  <si>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</si>
  <si>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</si>
  <si>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</si>
  <si>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</si>
  <si>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</si>
  <si>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</si>
  <si>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</si>
  <si>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</si>
  <si>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</si>
  <si>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</si>
  <si>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</si>
  <si>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</si>
  <si>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</si>
  <si>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</si>
  <si>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</si>
  <si>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</si>
  <si>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</si>
  <si>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</si>
  <si>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</si>
  <si>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</si>
  <si>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</si>
  <si>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</si>
  <si>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</si>
  <si>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</si>
  <si>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</si>
  <si>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</si>
  <si>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</si>
  <si>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</si>
  <si>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</si>
  <si>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</si>
  <si>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</si>
  <si>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</si>
  <si>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</si>
  <si>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</si>
  <si>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</si>
  <si>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</si>
  <si>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</si>
  <si>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</si>
  <si>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</si>
  <si>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</si>
  <si>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</si>
  <si>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</si>
  <si>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</si>
  <si>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</si>
  <si>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</si>
  <si>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</si>
  <si>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</si>
  <si>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</si>
  <si>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</si>
  <si>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</si>
  <si>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</si>
  <si>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</si>
  <si>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</si>
  <si>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</si>
  <si>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</si>
  <si>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</si>
  <si>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</si>
  <si>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</si>
  <si>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</si>
  <si>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</si>
  <si>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</si>
  <si>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</si>
  <si>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</si>
  <si>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</si>
  <si>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</si>
  <si>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</si>
  <si>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</si>
  <si>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</si>
  <si>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</si>
  <si>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</si>
  <si>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</si>
  <si>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</si>
  <si>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</si>
  <si>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</si>
  <si>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</si>
  <si>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</si>
  <si>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</si>
  <si>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</si>
  <si>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</si>
  <si>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</si>
  <si>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</si>
  <si>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</si>
  <si>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</si>
  <si>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</si>
  <si>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</si>
  <si>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</si>
  <si>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</si>
  <si>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</si>
  <si>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</si>
  <si>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</si>
  <si>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</si>
  <si>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</si>
  <si>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</si>
  <si>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</si>
  <si>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</si>
  <si>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</si>
  <si>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</si>
  <si>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</si>
  <si>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</si>
  <si>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</si>
  <si>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</si>
  <si>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</si>
  <si>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</si>
  <si>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</si>
  <si>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</si>
  <si>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</si>
  <si>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</si>
  <si>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</si>
  <si>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</si>
  <si>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</si>
  <si>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</si>
  <si>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</si>
  <si>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</si>
  <si>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</si>
  <si>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</si>
  <si>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</si>
  <si>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</si>
  <si>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</si>
  <si>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</si>
  <si>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</si>
  <si>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</si>
  <si>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</si>
  <si>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</si>
  <si>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</si>
  <si>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</si>
  <si>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</si>
  <si>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</si>
  <si>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</si>
  <si>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</si>
  <si>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</si>
  <si>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</si>
  <si>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</si>
  <si>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</si>
  <si>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</si>
  <si>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</si>
  <si>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</si>
  <si>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</si>
  <si>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</si>
  <si>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</si>
  <si>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</si>
  <si>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</si>
  <si>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</si>
  <si>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</si>
  <si>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</si>
  <si>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</si>
  <si>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</si>
  <si>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</si>
  <si>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</si>
  <si>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</si>
  <si>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</si>
  <si>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</si>
  <si>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</si>
  <si>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</si>
  <si>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</si>
  <si>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</si>
  <si>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</si>
  <si>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</si>
  <si>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</si>
  <si>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</si>
  <si>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</si>
  <si>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</si>
  <si>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</si>
  <si>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</si>
  <si>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</si>
  <si>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</si>
  <si>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</si>
  <si>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</si>
  <si>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</si>
  <si>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</si>
  <si>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</si>
  <si>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</si>
  <si>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</si>
  <si>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</si>
  <si>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</si>
  <si>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</si>
  <si>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</si>
  <si>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</si>
  <si>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</si>
  <si>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</si>
  <si>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</si>
  <si>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</si>
  <si>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</si>
  <si>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</si>
  <si>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</si>
  <si>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</si>
  <si>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</si>
  <si>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</si>
  <si>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</si>
  <si>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</si>
  <si>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</si>
  <si>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</si>
  <si>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</si>
  <si>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</si>
  <si>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</si>
  <si>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</si>
  <si>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</si>
  <si>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</si>
  <si>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</si>
  <si>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</si>
  <si>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</si>
  <si>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</si>
  <si>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</si>
  <si>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</si>
  <si>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</si>
  <si>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</si>
  <si>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</si>
  <si>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</si>
  <si>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</si>
  <si>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</si>
  <si>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</si>
  <si>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</si>
  <si>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</si>
  <si>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</si>
  <si>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</si>
  <si>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</si>
  <si>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</si>
  <si>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</si>
  <si>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</si>
  <si>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</si>
  <si>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</si>
  <si>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</si>
  <si>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</si>
  <si>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</si>
  <si>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</si>
  <si>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</si>
  <si>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</si>
  <si>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</si>
  <si>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</si>
  <si>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</si>
  <si>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</si>
  <si>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</si>
  <si>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</si>
  <si>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</si>
  <si>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</si>
  <si>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</si>
  <si>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</si>
  <si>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</si>
  <si>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</si>
  <si>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</si>
  <si>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</si>
  <si>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</si>
  <si>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</si>
  <si>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</si>
  <si>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</si>
  <si>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</si>
  <si>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</si>
  <si>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</si>
  <si>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</si>
  <si>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</si>
  <si>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</si>
  <si>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</si>
  <si>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</si>
  <si>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</si>
  <si>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</si>
  <si>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</si>
  <si>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</si>
  <si>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</si>
  <si>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</si>
  <si>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</si>
  <si>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</si>
  <si>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</si>
  <si>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</si>
  <si>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</si>
  <si>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</si>
  <si>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</si>
  <si>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</si>
  <si>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</si>
  <si>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</si>
  <si>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</si>
  <si>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</si>
  <si>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</si>
  <si>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</si>
  <si>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</si>
  <si>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</si>
  <si>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</si>
  <si>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</si>
  <si>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</si>
  <si>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</si>
  <si>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</si>
  <si>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</si>
  <si>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</si>
  <si>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</si>
  <si>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</si>
  <si>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</si>
  <si>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</si>
  <si>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</si>
  <si>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</si>
  <si>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</si>
  <si>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</si>
  <si>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</si>
  <si>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</si>
  <si>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</si>
  <si>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</si>
  <si>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</si>
  <si>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</si>
  <si>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</si>
  <si>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</si>
  <si>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</si>
  <si>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</si>
  <si>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</si>
  <si>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</si>
  <si>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</si>
  <si>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</si>
  <si>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</si>
  <si>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</si>
  <si>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</si>
  <si>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</si>
  <si>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</si>
  <si>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</si>
  <si>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</si>
  <si>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</si>
  <si>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</si>
  <si>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</si>
  <si>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</si>
  <si>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</si>
  <si>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</si>
  <si>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</si>
  <si>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</si>
  <si>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</si>
  <si>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</si>
  <si>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</si>
  <si>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</si>
  <si>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</si>
  <si>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</si>
  <si>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</si>
  <si>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</si>
  <si>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</si>
  <si>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</si>
  <si>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</si>
  <si>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</si>
  <si>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</si>
  <si>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</si>
  <si>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</si>
  <si>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</si>
  <si>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</si>
  <si>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</si>
  <si>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</si>
  <si>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</si>
  <si>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</si>
  <si>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</si>
  <si>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</si>
  <si>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</si>
  <si>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</si>
  <si>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</si>
  <si>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</si>
  <si>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</si>
  <si>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</si>
  <si>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</si>
  <si>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</si>
  <si>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</si>
  <si>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</si>
  <si>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</si>
  <si>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</si>
  <si>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</si>
  <si>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</si>
  <si>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</si>
  <si>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</si>
  <si>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</si>
  <si>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</si>
  <si>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</si>
  <si>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</si>
  <si>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</si>
  <si>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</si>
  <si>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</si>
  <si>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</si>
  <si>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</si>
  <si>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</si>
  <si>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</si>
  <si>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</si>
  <si>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</si>
  <si>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</si>
  <si>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</si>
  <si>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</si>
  <si>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</si>
  <si>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</si>
  <si>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</si>
  <si>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</si>
  <si>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</si>
  <si>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</si>
  <si>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</si>
  <si>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</si>
  <si>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</si>
  <si>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</si>
  <si>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</si>
  <si>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</si>
  <si>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</si>
  <si>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</si>
  <si>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</si>
  <si>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</si>
  <si>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</si>
  <si>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</si>
  <si>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</si>
  <si>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</si>
  <si>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</si>
  <si>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</si>
  <si>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</si>
  <si>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</si>
  <si>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</si>
  <si>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</si>
  <si>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</si>
  <si>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</si>
  <si>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</si>
  <si>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</si>
  <si>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</si>
  <si>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</si>
  <si>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</si>
  <si>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</si>
  <si>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</si>
  <si>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</si>
  <si>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</si>
  <si>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</si>
  <si>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</si>
  <si>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</si>
  <si>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</si>
  <si>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</si>
  <si>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</si>
  <si>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</si>
  <si>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</si>
  <si>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</si>
  <si>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</si>
  <si>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</si>
  <si>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</si>
  <si>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</si>
  <si>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</si>
  <si>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</si>
  <si>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</si>
  <si>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</si>
  <si>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</si>
  <si>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</si>
  <si>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</si>
  <si>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</si>
  <si>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</si>
  <si>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</si>
  <si>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</si>
  <si>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</si>
  <si>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</si>
  <si>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</si>
  <si>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</si>
  <si>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</si>
  <si>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</si>
  <si>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</si>
  <si>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</si>
  <si>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</si>
  <si>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</si>
  <si>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</si>
  <si>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</si>
  <si>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</si>
  <si>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</si>
  <si>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</si>
  <si>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</si>
  <si>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</si>
  <si>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</si>
  <si>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</si>
  <si>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</si>
  <si>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</si>
  <si>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</si>
  <si>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</si>
  <si>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</si>
  <si>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</si>
  <si>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</si>
  <si>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</si>
  <si>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</si>
  <si>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</si>
  <si>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</si>
  <si>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</si>
  <si>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</si>
  <si>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</si>
  <si>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</si>
  <si>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</si>
  <si>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</si>
  <si>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</si>
  <si>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</si>
  <si>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</si>
  <si>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</si>
  <si>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</si>
  <si>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</si>
  <si>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</si>
  <si>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</si>
  <si>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</si>
  <si>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</si>
  <si>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</si>
  <si>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</si>
  <si>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</si>
  <si>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</si>
  <si>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</si>
  <si>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</si>
  <si>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</si>
  <si>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</si>
  <si>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</si>
  <si>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</si>
  <si>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</si>
  <si>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</si>
  <si>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</si>
  <si>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</si>
  <si>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</si>
  <si>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</si>
  <si>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</si>
  <si>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</si>
  <si>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</si>
  <si>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</si>
  <si>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</si>
  <si>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</si>
  <si>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</si>
  <si>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</si>
  <si>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</si>
  <si>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</si>
  <si>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</si>
  <si>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</si>
  <si>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</si>
  <si>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</si>
  <si>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</si>
  <si>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</si>
  <si>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</si>
  <si>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</si>
  <si>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</si>
  <si>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</si>
  <si>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</si>
  <si>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</si>
  <si>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</si>
  <si>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</si>
  <si>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</si>
  <si>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</si>
  <si>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</si>
  <si>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</si>
  <si>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</si>
  <si>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</si>
  <si>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</si>
  <si>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</si>
  <si>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</si>
  <si>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</si>
  <si>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</si>
  <si>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</si>
  <si>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</si>
  <si>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</si>
  <si>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</si>
  <si>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</si>
  <si>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</si>
  <si>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</si>
  <si>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</si>
  <si>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</si>
  <si>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</si>
  <si>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</si>
  <si>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</si>
  <si>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</si>
  <si>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</si>
  <si>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</si>
  <si>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</si>
  <si>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</si>
  <si>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</si>
  <si>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</si>
  <si>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</si>
  <si>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</si>
  <si>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</si>
  <si>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</si>
  <si>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</si>
  <si>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</si>
  <si>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</si>
  <si>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</si>
  <si>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</si>
  <si>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</si>
  <si>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</si>
  <si>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</si>
  <si>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</si>
  <si>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</si>
  <si>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</si>
  <si>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</si>
  <si>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</si>
  <si>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</si>
  <si>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</si>
  <si>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</si>
  <si>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</si>
  <si>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</si>
  <si>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</si>
  <si>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</si>
  <si>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</si>
  <si>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</si>
  <si>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</si>
  <si>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</si>
  <si>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</si>
  <si>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</si>
  <si>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</si>
  <si>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</si>
  <si>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</si>
  <si>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</si>
  <si>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</si>
  <si>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</si>
  <si>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</si>
  <si>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</si>
  <si>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</si>
  <si>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</si>
  <si>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</si>
  <si>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</si>
  <si>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</si>
  <si>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</si>
  <si>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</si>
  <si>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</si>
  <si>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</si>
  <si>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</si>
  <si>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</si>
  <si>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</si>
  <si>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</si>
  <si>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</si>
  <si>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</si>
  <si>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</si>
  <si>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</si>
  <si>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</si>
  <si>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</si>
  <si>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</si>
  <si>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</si>
  <si>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</si>
  <si>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</si>
  <si>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</si>
  <si>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</si>
  <si>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</si>
  <si>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</si>
  <si>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</si>
  <si>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</si>
  <si>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</si>
  <si>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</si>
  <si>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</si>
  <si>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</si>
  <si>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</si>
  <si>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</si>
  <si>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</si>
  <si>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</si>
  <si>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</si>
  <si>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</si>
  <si>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</si>
  <si>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</si>
  <si>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</si>
  <si>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</si>
  <si>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</si>
  <si>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</si>
  <si>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</si>
  <si>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</si>
  <si>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</si>
  <si>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</si>
  <si>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</si>
  <si>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</si>
  <si>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</si>
  <si>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</si>
  <si>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</si>
  <si>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</si>
  <si>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</si>
  <si>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</si>
  <si>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</si>
  <si>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</si>
  <si>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</si>
  <si>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</si>
  <si>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</si>
  <si>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</si>
  <si>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</si>
  <si>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</si>
  <si>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</si>
  <si>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</si>
  <si>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</si>
  <si>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</si>
  <si>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</si>
  <si>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</si>
  <si>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</si>
  <si>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</si>
  <si>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</si>
  <si>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</si>
  <si>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</si>
  <si>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</si>
  <si>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</si>
  <si>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</si>
  <si>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</si>
  <si>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</si>
  <si>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</si>
  <si>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</si>
  <si>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</si>
  <si>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</si>
  <si>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</si>
  <si>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</si>
  <si>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</si>
  <si>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</si>
  <si>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</si>
  <si>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</si>
  <si>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</si>
  <si>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</si>
  <si>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</si>
  <si>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</si>
  <si>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</si>
  <si>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</si>
  <si>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</si>
  <si>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</si>
  <si>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</si>
  <si>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</si>
  <si>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</si>
  <si>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</si>
  <si>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</si>
  <si>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</si>
  <si>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</si>
  <si>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</si>
  <si>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</si>
  <si>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</si>
  <si>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</si>
  <si>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</si>
  <si>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</si>
  <si>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</si>
  <si>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</si>
  <si>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</si>
  <si>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</si>
  <si>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</si>
  <si>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</si>
  <si>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</si>
  <si>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</si>
  <si>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</si>
  <si>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</si>
  <si>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</si>
  <si>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</si>
  <si>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</si>
  <si>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</si>
  <si>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</si>
  <si>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</si>
  <si>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</si>
  <si>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</si>
  <si>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</si>
  <si>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</si>
  <si>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</si>
  <si>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</si>
  <si>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</si>
  <si>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</si>
  <si>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</si>
  <si>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</si>
  <si>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</si>
  <si>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</si>
  <si>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</si>
  <si>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</si>
  <si>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</si>
  <si>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</si>
  <si>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</si>
  <si>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</si>
  <si>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</si>
  <si>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</si>
  <si>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</si>
  <si>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</si>
  <si>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</si>
  <si>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</si>
  <si>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</si>
  <si>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</si>
  <si>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</si>
  <si>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</si>
  <si>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</si>
  <si>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</si>
  <si>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</si>
  <si>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</si>
  <si>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</si>
  <si>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</si>
  <si>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</si>
  <si>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</si>
  <si>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</si>
  <si>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</si>
  <si>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</si>
  <si>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</si>
  <si>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</si>
  <si>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</si>
  <si>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</si>
  <si>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</si>
  <si>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</si>
  <si>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</si>
  <si>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</si>
  <si>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</si>
  <si>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</si>
  <si>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</si>
  <si>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</si>
  <si>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</si>
  <si>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</si>
  <si>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</si>
  <si>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</si>
  <si>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</si>
  <si>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</si>
  <si>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</si>
  <si>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</si>
  <si>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</si>
  <si>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</si>
  <si>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</si>
  <si>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</si>
  <si>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</si>
  <si>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</si>
  <si>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</si>
  <si>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</si>
  <si>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</si>
  <si>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</si>
  <si>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</si>
  <si>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</si>
  <si>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</si>
  <si>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</si>
  <si>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</si>
  <si>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</si>
  <si>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</si>
  <si>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</si>
  <si>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</si>
  <si>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</si>
  <si>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</si>
  <si>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</si>
  <si>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</si>
  <si>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</si>
  <si>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</si>
  <si>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</si>
  <si>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</si>
  <si>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</si>
  <si>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</si>
  <si>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</si>
  <si>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</si>
  <si>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</si>
  <si>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</si>
  <si>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</si>
  <si>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</si>
  <si>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</si>
  <si>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</si>
  <si>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</si>
  <si>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</si>
  <si>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</si>
  <si>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</si>
  <si>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</si>
  <si>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</si>
  <si>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</si>
  <si>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</si>
  <si>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</si>
  <si>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</si>
  <si>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</si>
  <si>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</si>
  <si>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</si>
  <si>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</si>
  <si>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</si>
  <si>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</si>
  <si>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</si>
  <si>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</si>
  <si>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</si>
  <si>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</si>
  <si>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</si>
  <si>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</si>
  <si>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</si>
  <si>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</si>
  <si>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</si>
  <si>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</si>
  <si>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</si>
  <si>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</si>
  <si>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</si>
  <si>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</si>
  <si>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</si>
  <si>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</si>
  <si>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</si>
  <si>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</si>
  <si>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</si>
  <si>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</si>
  <si>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</si>
  <si>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</si>
  <si>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</si>
  <si>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</si>
  <si>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</si>
  <si>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</si>
  <si>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</si>
  <si>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</si>
  <si>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</si>
  <si>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</si>
  <si>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</si>
  <si>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</si>
  <si>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</si>
  <si>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</si>
  <si>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</si>
  <si>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</si>
  <si>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</si>
  <si>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</si>
  <si>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</si>
  <si>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</si>
  <si>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</si>
  <si>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</si>
  <si>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</si>
  <si>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</si>
  <si>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</si>
  <si>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</si>
  <si>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</si>
  <si>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</si>
  <si>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</si>
  <si>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</si>
  <si>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</si>
  <si>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</si>
  <si>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</si>
  <si>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</si>
  <si>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</si>
  <si>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</si>
  <si>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</si>
  <si>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</si>
  <si>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</si>
  <si>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</si>
  <si>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</si>
  <si>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</si>
  <si>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</si>
  <si>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</si>
  <si>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</si>
  <si>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</si>
  <si>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</si>
  <si>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</si>
  <si>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</si>
  <si>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</si>
  <si>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</si>
  <si>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</si>
  <si>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</si>
  <si>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</si>
  <si>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</si>
  <si>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</si>
  <si>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</si>
  <si>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</si>
  <si>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</si>
  <si>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</si>
  <si>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</si>
  <si>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</si>
  <si>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</si>
  <si>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</si>
  <si>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</si>
  <si>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</si>
  <si>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</si>
  <si>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</si>
  <si>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</si>
  <si>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</si>
  <si>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</si>
  <si>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</si>
  <si>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</si>
  <si>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</si>
  <si>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</si>
  <si>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</si>
  <si>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</si>
  <si>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</si>
  <si>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</si>
  <si>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</si>
  <si>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</si>
  <si>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</si>
  <si>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</si>
  <si>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</si>
  <si>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</si>
  <si>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</si>
  <si>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</si>
  <si>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</si>
  <si>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</si>
  <si>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</si>
  <si>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</si>
  <si>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</si>
  <si>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</si>
  <si>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</si>
  <si>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</si>
  <si>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</si>
  <si>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</si>
  <si>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</si>
  <si>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</si>
  <si>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</si>
  <si>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</si>
  <si>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</si>
  <si>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</si>
  <si>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</si>
  <si>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</si>
  <si>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</si>
  <si>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</si>
  <si>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</si>
  <si>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</si>
  <si>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</si>
  <si>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</si>
  <si>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</si>
  <si>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</si>
  <si>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</si>
  <si>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</si>
  <si>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</si>
  <si>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</si>
  <si>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</si>
  <si>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</si>
  <si>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</si>
  <si>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</si>
  <si>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</si>
  <si>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</si>
  <si>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</si>
  <si>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</si>
  <si>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</si>
  <si>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</si>
  <si>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</si>
  <si>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</si>
  <si>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</si>
  <si>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</si>
  <si>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</si>
  <si>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</si>
  <si>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</si>
  <si>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</si>
  <si>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</si>
  <si>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</si>
  <si>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</si>
  <si>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</si>
  <si>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</si>
  <si>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</si>
  <si>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</si>
  <si>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</si>
  <si>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</si>
  <si>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</si>
  <si>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</si>
  <si>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</si>
  <si>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</si>
  <si>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</si>
  <si>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</si>
  <si>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</si>
  <si>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</si>
  <si>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</si>
  <si>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</si>
  <si>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</si>
  <si>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</si>
  <si>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</si>
  <si>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</si>
  <si>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</si>
  <si>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</si>
  <si>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</si>
  <si>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</si>
  <si>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</si>
  <si>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</si>
  <si>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</si>
  <si>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</si>
  <si>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</si>
  <si>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</si>
  <si>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</si>
  <si>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</si>
  <si>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</si>
  <si>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</si>
  <si>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</si>
  <si>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</si>
  <si>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</si>
  <si>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</si>
  <si>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</si>
  <si>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</si>
  <si>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</si>
  <si>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</si>
  <si>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</si>
  <si>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</si>
  <si>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</si>
  <si>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</si>
  <si>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</si>
  <si>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</si>
  <si>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</si>
  <si>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</si>
  <si>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</si>
  <si>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</si>
  <si>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</si>
  <si>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</si>
  <si>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</si>
  <si>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</si>
  <si>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</si>
  <si>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</si>
  <si>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</si>
  <si>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</si>
  <si>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</si>
  <si>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</si>
  <si>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</si>
  <si>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</si>
  <si>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</si>
  <si>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</si>
  <si>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</si>
  <si>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</si>
  <si>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</si>
  <si>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</si>
  <si>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</si>
  <si>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</si>
  <si>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</si>
  <si>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</si>
  <si>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</si>
  <si>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</si>
  <si>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</si>
  <si>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</si>
  <si>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</si>
  <si>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</si>
  <si>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</si>
  <si>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</si>
  <si>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</si>
  <si>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</si>
  <si>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</si>
  <si>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</si>
  <si>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</si>
  <si>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</si>
  <si>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</si>
  <si>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</si>
  <si>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</si>
  <si>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</si>
  <si>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</si>
  <si>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</si>
  <si>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</si>
  <si>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</si>
  <si>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</si>
  <si>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</si>
  <si>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</si>
  <si>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</si>
  <si>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</si>
  <si>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</si>
  <si>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</si>
  <si>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</si>
  <si>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</si>
  <si>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</si>
  <si>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</si>
  <si>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</si>
  <si>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</si>
  <si>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</si>
  <si>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</si>
  <si>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</si>
  <si>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</si>
  <si>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</si>
  <si>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</si>
  <si>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</si>
  <si>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</si>
  <si>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</si>
  <si>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</si>
  <si>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</si>
  <si>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</si>
  <si>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</si>
  <si>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</si>
  <si>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</si>
  <si>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</si>
  <si>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</si>
  <si>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</si>
  <si>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</si>
  <si>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</si>
  <si>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</si>
  <si>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</si>
  <si>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</si>
  <si>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</si>
  <si>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</si>
  <si>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</si>
  <si>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</si>
  <si>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</si>
  <si>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</si>
  <si>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</si>
  <si>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</si>
  <si>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</si>
  <si>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</si>
  <si>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</si>
  <si>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</si>
  <si>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</si>
  <si>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</si>
  <si>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</si>
  <si>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</si>
  <si>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</si>
  <si>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</si>
  <si>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</si>
  <si>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</si>
  <si>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</si>
  <si>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</si>
  <si>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</si>
  <si>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</si>
  <si>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</si>
  <si>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</si>
  <si>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</si>
  <si>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</si>
  <si>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</si>
  <si>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</si>
  <si>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</si>
  <si>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</si>
  <si>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</si>
  <si>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</si>
  <si>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</si>
  <si>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</si>
  <si>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</si>
  <si>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</si>
  <si>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</si>
  <si>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</si>
  <si>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</si>
  <si>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</si>
  <si>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</si>
  <si>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</si>
  <si>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</si>
  <si>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</si>
  <si>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</si>
  <si>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</si>
  <si>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</si>
  <si>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</si>
  <si>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</si>
  <si>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</si>
  <si>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</si>
  <si>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</si>
  <si>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</si>
  <si>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</si>
  <si>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</si>
  <si>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</si>
  <si>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</si>
  <si>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</si>
  <si>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</si>
  <si>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</si>
  <si>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</si>
  <si>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</si>
  <si>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</si>
  <si>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</si>
  <si>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</si>
  <si>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</si>
  <si>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</si>
  <si>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</si>
  <si>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</si>
  <si>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</si>
  <si>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</si>
  <si>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</si>
  <si>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</si>
  <si>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</si>
  <si>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</si>
  <si>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</si>
  <si>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</si>
  <si>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</si>
  <si>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</si>
  <si>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</si>
  <si>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</si>
  <si>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</si>
  <si>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</si>
  <si>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</si>
  <si>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</si>
  <si>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</si>
  <si>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</si>
  <si>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</si>
  <si>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</si>
  <si>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</si>
  <si>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</si>
  <si>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</si>
  <si>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</si>
  <si>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</si>
  <si>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</si>
  <si>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</si>
  <si>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</si>
  <si>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</si>
  <si>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</si>
  <si>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</si>
  <si>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</si>
  <si>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</si>
  <si>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</si>
  <si>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</si>
  <si>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</si>
  <si>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</si>
  <si>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</si>
  <si>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</si>
  <si>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</si>
  <si>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</si>
  <si>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</si>
  <si>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</si>
  <si>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</si>
  <si>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</si>
  <si>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</si>
  <si>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</si>
  <si>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</si>
  <si>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</si>
  <si>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</si>
  <si>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</si>
  <si>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</si>
  <si>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</si>
  <si>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</si>
  <si>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</si>
  <si>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</si>
  <si>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</si>
  <si>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</si>
  <si>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</si>
  <si>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</si>
  <si>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</si>
  <si>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</si>
  <si>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</si>
  <si>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</si>
  <si>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</si>
  <si>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</si>
  <si>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</si>
  <si>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</si>
  <si>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</si>
  <si>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</si>
  <si>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</si>
  <si>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</si>
  <si>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</si>
  <si>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</si>
  <si>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</si>
  <si>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</si>
  <si>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</si>
  <si>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</si>
  <si>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</si>
  <si>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</si>
  <si>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</si>
  <si>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</si>
  <si>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</si>
  <si>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</si>
  <si>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</si>
  <si>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</si>
  <si>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</si>
  <si>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</si>
  <si>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</si>
  <si>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</si>
  <si>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</si>
  <si>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</si>
  <si>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</si>
  <si>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</si>
  <si>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</si>
  <si>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</si>
  <si>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</si>
  <si>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</si>
  <si>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</si>
  <si>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</si>
  <si>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</si>
  <si>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</si>
  <si>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</si>
  <si>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</si>
  <si>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</si>
  <si>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</si>
  <si>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</si>
  <si>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</si>
  <si>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</si>
  <si>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</si>
  <si>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</si>
  <si>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</si>
  <si>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</si>
  <si>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</si>
  <si>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</si>
  <si>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</si>
  <si>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</si>
  <si>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</si>
  <si>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</si>
  <si>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</si>
  <si>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</si>
  <si>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</si>
  <si>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</si>
  <si>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</si>
  <si>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</si>
  <si>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</si>
  <si>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</si>
  <si>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</si>
  <si>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</si>
  <si>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</si>
  <si>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</si>
  <si>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</si>
  <si>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</si>
  <si>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</si>
  <si>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</si>
  <si>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</si>
  <si>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</si>
  <si>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</si>
  <si>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</si>
  <si>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</si>
  <si>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</si>
  <si>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</si>
  <si>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</si>
  <si>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</si>
  <si>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</si>
  <si>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</si>
  <si>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</si>
  <si>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</si>
  <si>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</si>
  <si>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</si>
  <si>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</si>
  <si>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</si>
  <si>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</si>
  <si>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</si>
  <si>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</si>
  <si>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</si>
  <si>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</si>
  <si>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</si>
  <si>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</si>
  <si>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</si>
  <si>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</si>
  <si>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</si>
  <si>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</si>
  <si>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</si>
  <si>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</si>
  <si>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</si>
  <si>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</si>
  <si>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</si>
  <si>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</si>
  <si>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</si>
  <si>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</si>
  <si>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</si>
  <si>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</si>
  <si>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</si>
  <si>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</si>
  <si>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</si>
  <si>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</si>
  <si>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</si>
  <si>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</si>
  <si>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</si>
  <si>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</si>
  <si>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</si>
  <si>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</si>
  <si>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</si>
  <si>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</si>
  <si>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</si>
  <si>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</si>
  <si>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</si>
  <si>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</si>
  <si>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</si>
  <si>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</si>
  <si>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</si>
  <si>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</si>
  <si>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</si>
  <si>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</si>
  <si>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</si>
  <si>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</si>
  <si>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</si>
  <si>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</si>
  <si>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</si>
  <si>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</si>
  <si>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</si>
  <si>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</si>
  <si>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</si>
  <si>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</si>
  <si>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</si>
  <si>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</si>
  <si>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</si>
  <si>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</si>
  <si>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</si>
  <si>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</si>
  <si>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</si>
  <si>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</si>
  <si>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</si>
  <si>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</si>
  <si>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</si>
  <si>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</si>
  <si>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</si>
  <si>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</si>
  <si>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</si>
  <si>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</si>
  <si>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</si>
  <si>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</si>
  <si>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</si>
  <si>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</si>
  <si>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</si>
  <si>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</si>
  <si>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</si>
  <si>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</si>
  <si>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</si>
  <si>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</si>
  <si>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</si>
  <si>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</si>
  <si>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</si>
  <si>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</si>
  <si>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</si>
  <si>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</si>
  <si>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</si>
  <si>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</si>
  <si>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</si>
  <si>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</si>
  <si>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</si>
  <si>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</si>
  <si>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</si>
  <si>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</si>
  <si>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</si>
  <si>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</si>
  <si>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</si>
  <si>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</si>
  <si>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</si>
  <si>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</si>
  <si>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</si>
  <si>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</si>
  <si>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</si>
  <si>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</si>
  <si>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</si>
  <si>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</si>
  <si>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</si>
  <si>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</si>
  <si>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</si>
  <si>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</si>
  <si>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</si>
  <si>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</si>
  <si>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</si>
  <si>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</si>
  <si>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</si>
  <si>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</si>
  <si>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</si>
  <si>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</si>
  <si>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</si>
  <si>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</si>
  <si>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</si>
  <si>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</si>
  <si>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</si>
  <si>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</si>
  <si>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</si>
  <si>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</si>
  <si>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</si>
  <si>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</si>
  <si>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</si>
  <si>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</si>
  <si>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</si>
  <si>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</si>
  <si>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</si>
  <si>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</si>
  <si>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</si>
  <si>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</si>
  <si>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</si>
  <si>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</si>
  <si>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</si>
  <si>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</si>
  <si>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</si>
  <si>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</si>
  <si>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</si>
  <si>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</si>
  <si>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</si>
  <si>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</si>
  <si>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</si>
  <si>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</si>
  <si>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</si>
  <si>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</si>
  <si>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</si>
  <si>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</si>
  <si>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</si>
  <si>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</si>
  <si>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</si>
  <si>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</si>
  <si>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</si>
  <si>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</si>
  <si>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</si>
  <si>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</si>
  <si>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</si>
  <si>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</si>
  <si>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</si>
  <si>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</si>
  <si>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</si>
  <si>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</si>
  <si>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</si>
  <si>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</si>
  <si>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</si>
  <si>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</si>
  <si>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</si>
  <si>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</si>
  <si>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</si>
  <si>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</si>
  <si>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</si>
  <si>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</si>
  <si>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</si>
  <si>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</si>
  <si>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</si>
  <si>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</si>
  <si>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</si>
  <si>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</si>
  <si>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</si>
  <si>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</si>
  <si>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</si>
  <si>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</si>
  <si>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</si>
  <si>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</si>
  <si>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</si>
  <si>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</si>
  <si>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</si>
  <si>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</si>
  <si>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</si>
  <si>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</si>
  <si>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</si>
  <si>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</si>
  <si>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</si>
  <si>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</si>
  <si>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</si>
  <si>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</si>
  <si>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</si>
  <si>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</si>
  <si>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</si>
  <si>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</si>
  <si>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</si>
  <si>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</si>
  <si>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</si>
  <si>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</si>
  <si>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</si>
  <si>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</si>
  <si>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</si>
  <si>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</si>
  <si>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</si>
  <si>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</si>
  <si>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</si>
  <si>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</si>
  <si>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</si>
  <si>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</si>
  <si>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</si>
  <si>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</si>
  <si>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</si>
  <si>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</si>
  <si>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</si>
  <si>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</si>
  <si>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</si>
  <si>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</si>
  <si>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</si>
  <si>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</si>
  <si>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</si>
  <si>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</si>
  <si>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</si>
  <si>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</si>
  <si>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</si>
  <si>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</si>
  <si>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</si>
  <si>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</si>
  <si>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</si>
  <si>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</si>
  <si>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</si>
  <si>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</si>
  <si>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</si>
  <si>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</si>
  <si>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</si>
  <si>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</si>
  <si>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</si>
  <si>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</si>
  <si>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</si>
  <si>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</si>
  <si>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</si>
  <si>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</si>
  <si>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</si>
  <si>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</si>
  <si>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</si>
  <si>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</si>
  <si>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</si>
  <si>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</si>
  <si>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</si>
  <si>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</si>
  <si>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</si>
  <si>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</si>
  <si>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</si>
  <si>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</si>
  <si>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</si>
  <si>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</si>
  <si>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</si>
  <si>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</si>
  <si>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</si>
  <si>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</si>
  <si>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</si>
  <si>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</si>
  <si>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</si>
  <si>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</si>
  <si>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</si>
  <si>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</si>
  <si>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</si>
  <si>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</si>
  <si>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</si>
  <si>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</si>
  <si>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</si>
  <si>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</si>
  <si>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</si>
  <si>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</si>
  <si>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</si>
  <si>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</si>
  <si>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</si>
  <si>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</si>
  <si>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</si>
  <si>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</si>
  <si>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</si>
  <si>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</si>
  <si>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</si>
  <si>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</si>
  <si>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</si>
  <si>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</si>
  <si>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</si>
  <si>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</si>
  <si>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</si>
  <si>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</si>
  <si>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</si>
  <si>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</si>
  <si>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</si>
  <si>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</si>
  <si>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</si>
  <si>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</si>
  <si>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</si>
  <si>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</si>
  <si>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</si>
  <si>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</si>
  <si>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</si>
  <si>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</si>
  <si>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</si>
  <si>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</si>
  <si>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</si>
  <si>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</si>
  <si>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</si>
  <si>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</si>
  <si>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</si>
  <si>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</si>
  <si>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</si>
  <si>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</si>
  <si>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</si>
  <si>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</si>
  <si>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</si>
  <si>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</si>
  <si>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</si>
  <si>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</si>
  <si>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</si>
  <si>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</si>
  <si>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</si>
  <si>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</si>
  <si>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</si>
  <si>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</si>
  <si>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</si>
  <si>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</si>
  <si>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</si>
  <si>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</si>
  <si>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</si>
  <si>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</si>
  <si>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</si>
  <si>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</si>
  <si>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</si>
  <si>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</si>
  <si>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</si>
  <si>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</si>
  <si>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</si>
  <si>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</si>
  <si>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</si>
  <si>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</si>
  <si>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</si>
  <si>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</si>
  <si>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</si>
  <si>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</si>
  <si>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</si>
  <si>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</si>
  <si>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</si>
  <si>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</si>
  <si>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</si>
  <si>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</si>
  <si>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</si>
  <si>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</si>
  <si>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</si>
  <si>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</si>
  <si>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</si>
  <si>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</si>
  <si>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</si>
  <si>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</si>
  <si>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</si>
  <si>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</si>
  <si>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</si>
  <si>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</si>
  <si>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</si>
  <si>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</si>
  <si>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</si>
  <si>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</si>
  <si>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</si>
  <si>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</si>
  <si>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</si>
  <si>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</si>
  <si>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</si>
  <si>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</si>
  <si>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</si>
  <si>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</si>
  <si>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</si>
  <si>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</si>
  <si>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</si>
  <si>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</si>
  <si>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</si>
  <si>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</si>
  <si>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</si>
  <si>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</si>
  <si>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</si>
  <si>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</si>
  <si>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</si>
  <si>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</si>
  <si>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</si>
  <si>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</si>
  <si>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</si>
  <si>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</si>
  <si>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</si>
  <si>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</si>
  <si>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</si>
  <si>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</si>
  <si>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</si>
  <si>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</si>
  <si>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</si>
  <si>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</si>
  <si>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</si>
  <si>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</si>
  <si>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</si>
  <si>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</si>
  <si>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</si>
  <si>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</si>
  <si>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</si>
  <si>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</si>
  <si>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</si>
  <si>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</si>
  <si>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</si>
  <si>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</si>
  <si>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</si>
  <si>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</si>
  <si>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</si>
  <si>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</si>
  <si>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</si>
  <si>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</si>
  <si>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</si>
  <si>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</si>
  <si>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</si>
  <si>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</si>
  <si>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</si>
  <si>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</si>
  <si>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</si>
  <si>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</si>
  <si>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</si>
  <si>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</si>
  <si>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</si>
  <si>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</si>
  <si>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</si>
  <si>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</si>
  <si>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</si>
  <si>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</si>
  <si>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</si>
  <si>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</si>
  <si>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</si>
  <si>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</si>
  <si>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</si>
  <si>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</si>
  <si>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</si>
  <si>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</si>
  <si>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</si>
  <si>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</si>
  <si>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</si>
  <si>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</si>
  <si>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</si>
  <si>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</si>
  <si>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</si>
  <si>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</si>
  <si>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</si>
  <si>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</si>
  <si>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</si>
  <si>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</si>
  <si>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</si>
  <si>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</si>
  <si>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</si>
  <si>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</si>
  <si>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</si>
  <si>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</si>
  <si>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</si>
  <si>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</si>
  <si>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</si>
  <si>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</si>
  <si>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</si>
  <si>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</si>
  <si>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</si>
  <si>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</si>
  <si>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</si>
  <si>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</si>
  <si>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</si>
  <si>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</si>
  <si>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</si>
  <si>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</si>
  <si>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</si>
  <si>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</si>
  <si>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</si>
  <si>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</si>
  <si>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</si>
  <si>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</si>
  <si>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</si>
  <si>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</si>
  <si>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</si>
  <si>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</si>
  <si>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</si>
  <si>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</si>
  <si>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</si>
  <si>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</si>
  <si>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</si>
  <si>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</si>
  <si>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</si>
  <si>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</si>
  <si>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</si>
  <si>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</si>
  <si>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</si>
  <si>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</si>
  <si>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</si>
  <si>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</si>
  <si>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</si>
  <si>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</si>
  <si>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</si>
  <si>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</si>
  <si>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</si>
  <si>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</si>
  <si>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</si>
  <si>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</si>
  <si>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</si>
  <si>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</si>
  <si>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</si>
  <si>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</si>
  <si>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</si>
  <si>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</si>
  <si>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</si>
  <si>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</si>
  <si>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</si>
  <si>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</si>
  <si>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</si>
  <si>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</si>
  <si>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</si>
  <si>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</si>
  <si>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</si>
  <si>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</si>
  <si>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</si>
  <si>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</si>
  <si>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</si>
  <si>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</si>
  <si>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</si>
  <si>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</si>
  <si>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</si>
  <si>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</si>
  <si>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</si>
  <si>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</si>
  <si>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</si>
  <si>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</si>
  <si>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</si>
  <si>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</si>
  <si>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</si>
  <si>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</si>
  <si>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</si>
  <si>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</si>
  <si>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</si>
  <si>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</si>
  <si>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</si>
  <si>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</si>
  <si>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</si>
  <si>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</si>
  <si>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</si>
  <si>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</si>
  <si>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</si>
  <si>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</si>
  <si>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</si>
  <si>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</si>
  <si>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</si>
  <si>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</si>
  <si>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</si>
  <si>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</si>
  <si>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</si>
  <si>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</si>
  <si>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</si>
  <si>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</si>
  <si>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</si>
  <si>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</si>
  <si>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</si>
  <si>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</si>
  <si>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</si>
  <si>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</si>
  <si>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</si>
  <si>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</si>
  <si>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</si>
  <si>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</si>
  <si>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</si>
  <si>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</si>
  <si>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</si>
  <si>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</si>
  <si>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</si>
  <si>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</si>
  <si>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</si>
  <si>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</si>
  <si>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</si>
  <si>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</si>
  <si>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</si>
  <si>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</si>
  <si>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</si>
  <si>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</si>
  <si>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</si>
  <si>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</si>
  <si>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</si>
  <si>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</si>
  <si>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</si>
  <si>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</si>
  <si>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</si>
  <si>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</si>
  <si>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</si>
  <si>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</si>
  <si>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</si>
  <si>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</si>
  <si>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</si>
  <si>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</si>
  <si>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</si>
  <si>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</si>
  <si>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</si>
  <si>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</si>
  <si>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</si>
  <si>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</si>
  <si>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</si>
  <si>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</si>
  <si>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</si>
  <si>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</si>
  <si>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</si>
  <si>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</si>
  <si>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</si>
  <si>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</si>
  <si>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</si>
  <si>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</si>
  <si>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</si>
  <si>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</si>
  <si>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</si>
  <si>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</si>
  <si>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</si>
  <si>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</si>
  <si>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</si>
  <si>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</si>
  <si>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</si>
  <si>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</si>
  <si>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</si>
  <si>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</si>
  <si>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</si>
  <si>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</si>
  <si>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</si>
  <si>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</si>
  <si>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</si>
  <si>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</si>
  <si>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</si>
  <si>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</si>
  <si>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</si>
  <si>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</si>
  <si>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</si>
  <si>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</si>
  <si>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</si>
  <si>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</si>
  <si>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</si>
  <si>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</si>
  <si>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</si>
  <si>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</si>
  <si>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</si>
  <si>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</si>
  <si>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</si>
  <si>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</si>
  <si>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</si>
  <si>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</si>
  <si>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</si>
  <si>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</si>
  <si>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</si>
  <si>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</si>
  <si>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</si>
  <si>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</si>
  <si>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</si>
  <si>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</si>
  <si>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</si>
  <si>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</si>
  <si>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</si>
  <si>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</si>
  <si>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</si>
  <si>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</si>
  <si>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</si>
  <si>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</si>
  <si>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</si>
  <si>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</si>
  <si>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</si>
  <si>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</si>
  <si>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</si>
  <si>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</si>
  <si>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</si>
  <si>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</si>
  <si>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</si>
  <si>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</si>
  <si>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</si>
  <si>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</si>
  <si>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</si>
  <si>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</si>
  <si>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</si>
  <si>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</si>
  <si>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</si>
  <si>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</si>
  <si>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</si>
  <si>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</si>
  <si>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</si>
  <si>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</si>
  <si>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</si>
  <si>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</si>
  <si>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</si>
  <si>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</si>
  <si>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</si>
  <si>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</si>
  <si>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</si>
  <si>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</si>
  <si>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</si>
  <si>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</si>
  <si>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</si>
  <si>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</si>
  <si>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</si>
  <si>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</si>
  <si>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</si>
  <si>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</si>
  <si>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</si>
  <si>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</si>
  <si>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</si>
  <si>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</si>
  <si>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</si>
  <si>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</si>
  <si>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</si>
  <si>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</si>
  <si>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</si>
  <si>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</si>
  <si>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</si>
  <si>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</si>
  <si>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</si>
  <si>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</si>
  <si>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</si>
  <si>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</si>
  <si>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</si>
  <si>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</si>
  <si>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</si>
  <si>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</si>
  <si>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</si>
  <si>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</si>
  <si>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</si>
  <si>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</si>
  <si>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</si>
  <si>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</si>
  <si>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</si>
  <si>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</si>
  <si>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</si>
  <si>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</si>
  <si>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</si>
  <si>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</si>
  <si>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</si>
  <si>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</si>
  <si>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</si>
  <si>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</si>
  <si>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</si>
  <si>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</si>
  <si>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</si>
  <si>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</si>
  <si>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</si>
  <si>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</si>
  <si>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</si>
  <si>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</si>
  <si>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</si>
  <si>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</si>
  <si>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</si>
  <si>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</si>
  <si>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</si>
  <si>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</si>
  <si>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</si>
  <si>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</si>
  <si>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</si>
  <si>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</si>
  <si>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</si>
  <si>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</si>
  <si>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</si>
  <si>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</si>
  <si>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</si>
  <si>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</si>
  <si>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</si>
  <si>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</si>
  <si>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</si>
  <si>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</si>
  <si>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</si>
  <si>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</si>
  <si>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</si>
  <si>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</si>
  <si>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</si>
  <si>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</si>
  <si>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</si>
  <si>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</si>
  <si>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</si>
  <si>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</si>
  <si>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</si>
  <si>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</si>
  <si>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</si>
  <si>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</si>
  <si>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</si>
  <si>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</si>
  <si>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</si>
  <si>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</si>
  <si>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</si>
  <si>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</si>
  <si>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</si>
  <si>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</si>
  <si>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</si>
  <si>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</si>
  <si>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</si>
  <si>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</si>
  <si>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</si>
  <si>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</si>
  <si>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</si>
  <si>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</si>
  <si>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</si>
  <si>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</si>
  <si>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</si>
  <si>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</si>
  <si>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</si>
  <si>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</si>
  <si>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</si>
  <si>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</si>
  <si>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</si>
  <si>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</si>
  <si>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</si>
  <si>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</si>
  <si>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</si>
  <si>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</si>
  <si>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</si>
  <si>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</si>
  <si>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</si>
  <si>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</si>
  <si>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</si>
  <si>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</si>
  <si>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</si>
  <si>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</si>
  <si>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</si>
  <si>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</si>
  <si>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</si>
  <si>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</si>
  <si>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</si>
  <si>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</si>
  <si>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</si>
  <si>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</si>
  <si>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</si>
  <si>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</si>
  <si>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</si>
  <si>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</si>
  <si>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</si>
  <si>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</si>
  <si>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</si>
  <si>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</si>
  <si>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</si>
  <si>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</si>
  <si>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</si>
  <si>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</si>
  <si>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</si>
  <si>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</si>
  <si>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</si>
  <si>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</si>
  <si>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</si>
  <si>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</si>
  <si>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</si>
  <si>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</si>
  <si>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</si>
  <si>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</si>
  <si>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</si>
  <si>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</si>
  <si>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</si>
  <si>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</si>
  <si>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</si>
  <si>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</si>
  <si>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</si>
  <si>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</si>
  <si>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</si>
  <si>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</si>
  <si>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</si>
  <si>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</si>
  <si>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</si>
  <si>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</si>
  <si>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</si>
  <si>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</si>
  <si>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</si>
  <si>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</si>
  <si>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</si>
  <si>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</si>
  <si>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</si>
  <si>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</si>
  <si>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</si>
  <si>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</si>
  <si>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</si>
  <si>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</si>
  <si>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</si>
  <si>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</si>
  <si>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</si>
  <si>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</si>
  <si>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</si>
  <si>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</si>
  <si>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</si>
  <si>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</si>
  <si>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</si>
  <si>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</si>
  <si>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</si>
  <si>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</si>
  <si>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</si>
  <si>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</si>
  <si>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</si>
  <si>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</si>
  <si>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</si>
  <si>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</si>
  <si>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</si>
  <si>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</si>
  <si>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</si>
  <si>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</si>
  <si>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</si>
  <si>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</si>
  <si>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</si>
  <si>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</si>
  <si>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</si>
  <si>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</si>
  <si>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</si>
  <si>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</si>
  <si>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</si>
  <si>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</si>
  <si>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</si>
  <si>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</si>
  <si>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</si>
  <si>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</si>
  <si>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</si>
  <si>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</si>
  <si>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</si>
  <si>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</si>
  <si>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</si>
  <si>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</si>
  <si>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</si>
  <si>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</si>
  <si>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</si>
  <si>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</si>
  <si>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</si>
  <si>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</si>
  <si>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</si>
  <si>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</si>
  <si>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</si>
  <si>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</si>
  <si>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</si>
  <si>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</si>
  <si>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</si>
  <si>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</si>
  <si>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</si>
  <si>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</si>
  <si>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</si>
  <si>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</si>
  <si>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</si>
  <si>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</si>
  <si>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</si>
  <si>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</si>
  <si>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</si>
  <si>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</si>
  <si>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</si>
  <si>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</si>
  <si>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</si>
  <si>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</si>
  <si>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</si>
  <si>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</si>
  <si>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</si>
  <si>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</si>
  <si>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</si>
  <si>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</si>
  <si>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</si>
  <si>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</si>
  <si>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</si>
  <si>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</si>
  <si>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</si>
  <si>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</si>
  <si>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</si>
  <si>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</si>
  <si>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</si>
  <si>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</si>
  <si>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</si>
  <si>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</si>
  <si>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</si>
  <si>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</si>
  <si>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</si>
  <si>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</si>
  <si>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</si>
  <si>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</si>
  <si>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</si>
  <si>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</si>
  <si>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</si>
  <si>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</si>
  <si>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</si>
  <si>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</si>
  <si>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</si>
  <si>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</si>
  <si>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</si>
  <si>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</si>
  <si>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</si>
  <si>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</si>
  <si>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</si>
  <si>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</si>
  <si>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</si>
  <si>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</si>
  <si>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</si>
  <si>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</si>
  <si>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</si>
  <si>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</si>
  <si>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</si>
  <si>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</si>
  <si>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</si>
  <si>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</si>
  <si>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</si>
  <si>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</si>
  <si>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</si>
  <si>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</si>
  <si>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</si>
  <si>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</si>
  <si>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</si>
  <si>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</si>
  <si>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</si>
  <si>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</si>
  <si>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</si>
  <si>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</si>
  <si>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</si>
  <si>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</si>
  <si>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</si>
  <si>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</si>
  <si>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</si>
  <si>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</si>
  <si>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</si>
  <si>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</si>
  <si>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</si>
  <si>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</si>
  <si>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</si>
  <si>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</si>
  <si>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</si>
  <si>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</si>
  <si>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</si>
  <si>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</si>
  <si>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</si>
  <si>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</si>
  <si>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</si>
  <si>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</si>
  <si>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</si>
  <si>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</si>
  <si>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</si>
  <si>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</si>
  <si>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</si>
  <si>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</si>
  <si>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</si>
  <si>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</si>
  <si>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</si>
  <si>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</si>
  <si>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</si>
  <si>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</si>
  <si>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</si>
  <si>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</si>
  <si>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</si>
  <si>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</si>
  <si>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</si>
  <si>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</si>
  <si>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</si>
  <si>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</si>
  <si>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</si>
  <si>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</si>
  <si>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</si>
  <si>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</si>
  <si>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</si>
  <si>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</si>
  <si>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</si>
  <si>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</si>
  <si>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</si>
  <si>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</si>
  <si>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</si>
  <si>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</si>
  <si>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</si>
  <si>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</si>
  <si>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</si>
  <si>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</si>
  <si>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</si>
  <si>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</si>
  <si>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</si>
  <si>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</si>
  <si>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</si>
  <si>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</si>
  <si>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</si>
  <si>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</si>
  <si>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</si>
  <si>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</si>
  <si>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</si>
  <si>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</si>
  <si>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</si>
  <si>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</si>
  <si>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</si>
  <si>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</si>
  <si>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</si>
  <si>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</si>
  <si>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</si>
  <si>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</si>
  <si>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</si>
  <si>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</si>
  <si>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</si>
  <si>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</si>
  <si>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</si>
  <si>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</si>
  <si>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</si>
  <si>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</si>
  <si>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</si>
  <si>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</si>
  <si>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</si>
  <si>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</si>
  <si>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</si>
  <si>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</si>
  <si>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</si>
  <si>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</si>
  <si>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</si>
  <si>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</si>
  <si>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</si>
  <si>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</si>
  <si>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</si>
  <si>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</si>
  <si>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</si>
  <si>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</si>
  <si>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</si>
  <si>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</si>
  <si>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</si>
  <si>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</si>
  <si>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</si>
  <si>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</si>
  <si>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</si>
  <si>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</si>
  <si>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</si>
  <si>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</si>
  <si>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</si>
  <si>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</si>
  <si>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</si>
  <si>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</si>
  <si>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</si>
  <si>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</si>
  <si>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</si>
  <si>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</si>
  <si>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</si>
  <si>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</si>
  <si>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</si>
  <si>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</si>
  <si>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</si>
  <si>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</si>
  <si>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</si>
  <si>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</si>
  <si>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</si>
  <si>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</si>
  <si>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</si>
  <si>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</si>
  <si>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</si>
  <si>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</si>
  <si>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</si>
  <si>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</si>
  <si>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</si>
  <si>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</si>
  <si>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</si>
  <si>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</si>
  <si>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</si>
  <si>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</si>
  <si>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</si>
  <si>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</si>
  <si>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</si>
  <si>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</si>
  <si>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</si>
  <si>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</si>
  <si>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</si>
  <si>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</si>
  <si>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</si>
  <si>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</si>
  <si>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</si>
  <si>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</si>
  <si>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</si>
  <si>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</si>
  <si>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</si>
  <si>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</si>
  <si>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</si>
  <si>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</si>
  <si>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</si>
  <si>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</si>
  <si>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</si>
  <si>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</si>
  <si>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</si>
  <si>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</si>
  <si>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</si>
  <si>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</si>
  <si>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</si>
  <si>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</si>
  <si>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</si>
  <si>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</si>
  <si>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</si>
  <si>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</si>
  <si>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</si>
  <si>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</si>
  <si>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</si>
  <si>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</si>
  <si>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</si>
  <si>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</si>
  <si>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</si>
  <si>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</si>
  <si>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</si>
  <si>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</si>
  <si>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</si>
  <si>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</si>
  <si>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</si>
  <si>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</si>
  <si>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</si>
  <si>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</si>
  <si>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</si>
  <si>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</si>
  <si>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</si>
  <si>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</si>
  <si>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</si>
  <si>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</si>
  <si>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</si>
  <si>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</si>
  <si>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</si>
  <si>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</si>
  <si>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</si>
  <si>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</si>
  <si>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</si>
  <si>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</si>
  <si>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</si>
  <si>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</si>
  <si>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</si>
  <si>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</si>
  <si>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</si>
  <si>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</si>
  <si>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</si>
  <si>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</si>
  <si>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</si>
  <si>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</si>
  <si>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</si>
  <si>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</si>
  <si>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</si>
  <si>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</si>
  <si>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</si>
  <si>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</si>
  <si>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</si>
  <si>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</si>
  <si>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</si>
  <si>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</si>
  <si>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</si>
  <si>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</si>
  <si>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</si>
  <si>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</si>
  <si>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</si>
  <si>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</si>
  <si>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</si>
  <si>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</si>
  <si>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</si>
  <si>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</si>
  <si>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</si>
  <si>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</si>
  <si>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</si>
  <si>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</si>
  <si>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</si>
  <si>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</si>
  <si>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</si>
  <si>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</si>
  <si>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</si>
  <si>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</si>
  <si>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</si>
  <si>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</si>
  <si>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</si>
  <si>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</si>
  <si>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</si>
  <si>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</si>
  <si>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</si>
  <si>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</si>
  <si>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</si>
  <si>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</si>
  <si>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</si>
  <si>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</si>
  <si>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</si>
  <si>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</si>
  <si>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</si>
  <si>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</si>
  <si>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</si>
  <si>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</si>
  <si>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</si>
  <si>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</si>
  <si>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</si>
  <si>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</si>
  <si>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</si>
  <si>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</si>
  <si>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</si>
  <si>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</si>
  <si>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</si>
  <si>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</si>
  <si>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</si>
  <si>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</si>
  <si>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</si>
  <si>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</si>
  <si>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</si>
  <si>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</si>
  <si>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</si>
  <si>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</si>
  <si>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</si>
  <si>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</si>
  <si>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</si>
  <si>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</si>
  <si>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</si>
  <si>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</si>
  <si>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</si>
  <si>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</si>
  <si>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</si>
  <si>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</si>
  <si>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</si>
  <si>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</si>
  <si>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</si>
  <si>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</si>
  <si>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</si>
  <si>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</si>
  <si>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</si>
  <si>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</si>
  <si>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</si>
  <si>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</si>
  <si>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</si>
  <si>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</si>
  <si>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</si>
  <si>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</si>
  <si>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</si>
  <si>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</si>
  <si>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</si>
  <si>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</si>
  <si>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</si>
  <si>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</si>
  <si>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</si>
  <si>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</si>
  <si>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</si>
  <si>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</si>
  <si>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</si>
  <si>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</si>
  <si>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</si>
  <si>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</si>
  <si>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</si>
  <si>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</si>
  <si>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</si>
  <si>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</si>
  <si>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</si>
  <si>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</si>
  <si>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</si>
  <si>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</si>
  <si>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</si>
  <si>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</si>
  <si>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</si>
  <si>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</si>
  <si>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</si>
  <si>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</si>
  <si>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</si>
  <si>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</si>
  <si>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</si>
  <si>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</si>
  <si>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</si>
  <si>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</si>
  <si>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</si>
  <si>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</si>
  <si>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</si>
  <si>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</si>
  <si>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</si>
  <si>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</si>
  <si>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</si>
  <si>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</si>
  <si>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</si>
  <si>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</si>
  <si>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</si>
  <si>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</si>
  <si>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</si>
  <si>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</si>
  <si>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</si>
  <si>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</si>
  <si>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</si>
  <si>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</si>
  <si>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</si>
  <si>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</si>
  <si>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</si>
  <si>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</si>
  <si>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</si>
  <si>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</si>
  <si>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</si>
  <si>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</si>
  <si>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</si>
  <si>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</si>
  <si>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</si>
  <si>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</si>
  <si>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</si>
  <si>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</si>
  <si>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</si>
  <si>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</si>
  <si>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</si>
  <si>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</si>
  <si>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</si>
  <si>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</si>
  <si>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</si>
  <si>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</si>
  <si>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</si>
  <si>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</si>
  <si>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</si>
  <si>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</si>
  <si>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</si>
  <si>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</si>
  <si>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</si>
  <si>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</si>
  <si>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</si>
  <si>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</si>
  <si>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</si>
  <si>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</si>
  <si>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</si>
  <si>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</si>
  <si>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</si>
  <si>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</si>
  <si>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</si>
  <si>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</si>
  <si>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</si>
  <si>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</si>
  <si>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</si>
  <si>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</si>
  <si>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</si>
  <si>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</si>
  <si>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</si>
  <si>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</si>
  <si>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</si>
  <si>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</si>
  <si>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</si>
  <si>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</si>
  <si>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</si>
  <si>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</si>
  <si>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</si>
  <si>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</si>
  <si>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</si>
  <si>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</si>
  <si>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</si>
  <si>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</si>
  <si>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</si>
  <si>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</si>
  <si>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</si>
  <si>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</si>
  <si>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</si>
  <si>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</si>
  <si>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</si>
  <si>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</si>
  <si>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</si>
  <si>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</si>
  <si>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</si>
  <si>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</si>
  <si>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</si>
  <si>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</si>
  <si>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</si>
  <si>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</si>
  <si>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</si>
  <si>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</si>
  <si>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</si>
  <si>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</si>
  <si>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</si>
  <si>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</si>
  <si>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</si>
  <si>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</si>
  <si>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</si>
  <si>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</si>
  <si>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</si>
  <si>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</si>
  <si>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</si>
  <si>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</si>
  <si>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</si>
  <si>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</si>
  <si>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</si>
  <si>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</si>
  <si>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</si>
  <si>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</si>
  <si>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</si>
  <si>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</si>
  <si>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</si>
  <si>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</si>
  <si>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</si>
  <si>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</si>
  <si>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</si>
  <si>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</si>
  <si>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</si>
  <si>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</si>
  <si>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</si>
  <si>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</si>
  <si>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</si>
  <si>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</si>
  <si>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</si>
  <si>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</si>
  <si>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</si>
  <si>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</si>
  <si>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</si>
  <si>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</si>
  <si>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</si>
  <si>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</si>
  <si>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</si>
  <si>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</si>
  <si>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</si>
  <si>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</si>
  <si>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</si>
  <si>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</si>
  <si>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</si>
  <si>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</si>
  <si>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</si>
  <si>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</si>
  <si>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</si>
  <si>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</si>
  <si>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</si>
  <si>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</si>
  <si>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</si>
  <si>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</si>
  <si>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</si>
  <si>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</si>
  <si>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</si>
  <si>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</si>
  <si>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</si>
  <si>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</si>
  <si>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</si>
  <si>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</si>
  <si>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</si>
  <si>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</si>
  <si>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</si>
  <si>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</si>
  <si>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</si>
  <si>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</si>
  <si>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</si>
  <si>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</si>
  <si>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</si>
  <si>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</si>
  <si>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</si>
  <si>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</si>
  <si>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</si>
  <si>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</si>
  <si>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</si>
  <si>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</si>
  <si>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</si>
  <si>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</si>
  <si>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</si>
  <si>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</si>
  <si>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</si>
  <si>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</si>
  <si>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</si>
  <si>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</si>
  <si>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</si>
  <si>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</si>
  <si>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</si>
  <si>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</si>
  <si>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</si>
  <si>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</si>
  <si>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</si>
  <si>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</si>
  <si>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</si>
  <si>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</si>
  <si>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</si>
  <si>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</si>
  <si>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</si>
  <si>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</si>
  <si>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</si>
  <si>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</si>
  <si>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</si>
  <si>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</si>
  <si>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</si>
  <si>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</si>
  <si>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</si>
  <si>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</si>
  <si>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</si>
  <si>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</si>
  <si>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</si>
  <si>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</si>
  <si>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</si>
  <si>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</si>
  <si>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</si>
  <si>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</si>
  <si>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</si>
  <si>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</si>
  <si>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</si>
  <si>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</si>
  <si>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</si>
  <si>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</si>
  <si>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</si>
  <si>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</si>
  <si>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</si>
  <si>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</si>
  <si>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</si>
  <si>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</si>
  <si>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</si>
  <si>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</si>
  <si>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</si>
  <si>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</si>
  <si>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</si>
  <si>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</si>
  <si>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</si>
  <si>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</si>
  <si>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</si>
  <si>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</si>
  <si>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</si>
  <si>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</si>
  <si>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</si>
  <si>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</si>
  <si>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</si>
  <si>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</si>
  <si>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</si>
  <si>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</si>
  <si>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</si>
  <si>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</si>
  <si>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</si>
  <si>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</si>
  <si>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</si>
  <si>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</si>
  <si>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</si>
  <si>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</si>
  <si>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</si>
  <si>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</si>
  <si>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</si>
  <si>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</si>
  <si>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</si>
  <si>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</si>
  <si>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</si>
  <si>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</si>
  <si>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</si>
  <si>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</si>
  <si>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</si>
  <si>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</si>
  <si>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</si>
  <si>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</si>
  <si>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</si>
  <si>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</si>
  <si>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</si>
  <si>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</si>
  <si>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</si>
  <si>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</si>
  <si>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</si>
  <si>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</si>
  <si>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</si>
  <si>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</si>
  <si>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</si>
  <si>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</si>
  <si>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</si>
  <si>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</si>
  <si>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</si>
  <si>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</si>
  <si>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</si>
  <si>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</si>
  <si>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</si>
  <si>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</si>
  <si>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</si>
  <si>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</si>
  <si>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</si>
  <si>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</si>
  <si>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</si>
  <si>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</si>
  <si>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</si>
  <si>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</si>
  <si>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</si>
  <si>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</si>
  <si>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</si>
  <si>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</si>
  <si>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</si>
  <si>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</si>
  <si>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</si>
  <si>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</si>
  <si>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</si>
  <si>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</si>
  <si>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</si>
  <si>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</si>
  <si>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</si>
  <si>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</si>
  <si>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</si>
  <si>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</si>
  <si>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</si>
  <si>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</si>
  <si>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</si>
  <si>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</si>
  <si>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</si>
  <si>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</si>
  <si>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</si>
  <si>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</si>
  <si>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</si>
  <si>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</si>
  <si>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</si>
  <si>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</si>
  <si>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</si>
  <si>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</si>
  <si>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</si>
  <si>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</si>
  <si>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</si>
  <si>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</si>
  <si>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</si>
  <si>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</si>
  <si>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</si>
  <si>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</si>
  <si>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</si>
  <si>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</si>
  <si>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</si>
  <si>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</si>
  <si>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</si>
  <si>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</si>
  <si>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</si>
  <si>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</si>
  <si>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</si>
  <si>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</si>
  <si>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</si>
  <si>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</si>
  <si>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</si>
  <si>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</si>
  <si>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</si>
  <si>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</si>
  <si>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</si>
  <si>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</si>
  <si>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</si>
  <si>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</si>
  <si>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</si>
  <si>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</si>
  <si>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</si>
  <si>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</si>
  <si>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</si>
  <si>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</si>
  <si>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</si>
  <si>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</si>
  <si>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</si>
  <si>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</si>
  <si>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</si>
  <si>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</si>
  <si>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</si>
  <si>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</si>
  <si>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</si>
  <si>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</si>
  <si>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</si>
  <si>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</si>
  <si>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</si>
  <si>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</si>
  <si>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</si>
  <si>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</si>
  <si>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</si>
  <si>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</si>
  <si>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</si>
  <si>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</si>
  <si>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</si>
  <si>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</si>
  <si>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</si>
  <si>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</si>
  <si>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</si>
  <si>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</si>
  <si>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</si>
  <si>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</si>
  <si>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</si>
  <si>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</si>
  <si>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</si>
  <si>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</si>
  <si>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</si>
  <si>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</si>
  <si>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</si>
  <si>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</si>
  <si>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</si>
  <si>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</si>
  <si>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</si>
  <si>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</si>
  <si>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</si>
  <si>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</si>
  <si>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</si>
  <si>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</si>
  <si>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</si>
  <si>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</si>
  <si>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</si>
  <si>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</si>
  <si>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</si>
  <si>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</si>
  <si>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</si>
  <si>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</si>
  <si>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</si>
  <si>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</si>
  <si>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</si>
  <si>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</si>
  <si>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</si>
  <si>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</si>
  <si>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</si>
  <si>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</si>
  <si>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</si>
  <si>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</si>
  <si>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</si>
  <si>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</si>
  <si>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</si>
  <si>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</si>
  <si>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</si>
  <si>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</si>
  <si>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</si>
  <si>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</si>
  <si>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</si>
  <si>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</si>
  <si>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</si>
  <si>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</si>
  <si>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</si>
  <si>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</si>
  <si>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</si>
  <si>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</si>
  <si>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</si>
  <si>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</si>
  <si>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</si>
  <si>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</si>
  <si>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</si>
  <si>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</si>
  <si>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</si>
  <si>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</si>
  <si>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</si>
  <si>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</si>
  <si>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</si>
  <si>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</si>
  <si>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</si>
  <si>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</si>
  <si>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</si>
  <si>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</si>
  <si>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</si>
  <si>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</si>
  <si>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</si>
  <si>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</si>
  <si>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</si>
  <si>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</si>
  <si>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</si>
  <si>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</si>
  <si>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</si>
  <si>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</si>
  <si>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</si>
  <si>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</si>
  <si>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</si>
  <si>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</si>
  <si>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</si>
  <si>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</si>
  <si>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</si>
  <si>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</si>
  <si>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</si>
  <si>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</si>
  <si>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</si>
  <si>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</si>
  <si>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</si>
  <si>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</si>
  <si>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</si>
  <si>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</si>
  <si>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</si>
  <si>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</si>
  <si>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</si>
  <si>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</si>
  <si>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</si>
  <si>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</si>
  <si>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</si>
  <si>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</si>
  <si>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</si>
  <si>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</si>
  <si>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</si>
  <si>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</si>
  <si>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</si>
  <si>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</si>
  <si>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</si>
  <si>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</si>
  <si>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</si>
  <si>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</si>
  <si>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</si>
  <si>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</si>
  <si>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</si>
  <si>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</si>
  <si>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</si>
  <si>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</si>
  <si>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</si>
  <si>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</si>
  <si>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</si>
  <si>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</si>
  <si>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</si>
  <si>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</si>
  <si>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</si>
  <si>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</si>
  <si>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</si>
  <si>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</si>
  <si>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</si>
  <si>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</si>
  <si>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</si>
  <si>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</si>
  <si>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</si>
  <si>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</si>
  <si>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</si>
  <si>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</si>
  <si>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</si>
  <si>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</si>
  <si>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</si>
  <si>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</si>
  <si>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</si>
  <si>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</si>
  <si>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</si>
  <si>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</si>
  <si>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</si>
  <si>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</si>
  <si>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</si>
  <si>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</si>
  <si>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</si>
  <si>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</si>
  <si>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</si>
  <si>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</si>
  <si>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</si>
  <si>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</si>
  <si>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</si>
  <si>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</si>
  <si>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</si>
  <si>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</si>
  <si>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</si>
  <si>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</si>
  <si>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</si>
  <si>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</si>
  <si>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</si>
  <si>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</si>
  <si>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</si>
  <si>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</si>
  <si>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</si>
  <si>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</si>
  <si>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</si>
  <si>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</si>
  <si>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</si>
  <si>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</si>
  <si>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</si>
  <si>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</si>
  <si>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</si>
  <si>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</si>
  <si>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</si>
  <si>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</si>
  <si>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</si>
  <si>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</si>
  <si>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</si>
  <si>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</si>
  <si>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</si>
  <si>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</si>
  <si>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</si>
  <si>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</si>
  <si>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</si>
  <si>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</si>
  <si>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</si>
  <si>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</si>
  <si>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</si>
  <si>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</si>
  <si>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</si>
  <si>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</si>
  <si>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</si>
  <si>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</si>
  <si>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</si>
  <si>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</si>
  <si>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</si>
  <si>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</si>
  <si>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</si>
  <si>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</si>
  <si>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</si>
  <si>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</si>
  <si>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</si>
  <si>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</si>
  <si>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</si>
  <si>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</si>
  <si>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</si>
  <si>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</si>
  <si>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</si>
  <si>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</si>
  <si>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</si>
  <si>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</si>
  <si>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</si>
  <si>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</si>
  <si>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</si>
  <si>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</si>
  <si>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</si>
  <si>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</si>
  <si>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</si>
  <si>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</si>
  <si>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</si>
  <si>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</si>
  <si>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</si>
  <si>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</si>
  <si>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</si>
  <si>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</si>
  <si>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</si>
  <si>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</si>
  <si>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</si>
  <si>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</si>
  <si>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</si>
  <si>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</si>
  <si>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</si>
  <si>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</si>
  <si>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</si>
  <si>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</si>
  <si>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</si>
  <si>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</si>
  <si>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</si>
  <si>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</si>
  <si>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</si>
  <si>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</si>
  <si>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</si>
  <si>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</si>
  <si>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</si>
  <si>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</si>
  <si>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</si>
  <si>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</si>
  <si>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</si>
  <si>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</si>
  <si>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</si>
  <si>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</si>
  <si>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</si>
  <si>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</si>
  <si>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</si>
  <si>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</si>
  <si>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</si>
  <si>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</si>
  <si>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</si>
  <si>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</si>
  <si>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</si>
  <si>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</si>
  <si>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</si>
  <si>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</si>
  <si>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</si>
  <si>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</si>
  <si>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</si>
  <si>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</si>
  <si>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</si>
  <si>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</si>
  <si>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</si>
  <si>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</si>
  <si>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</si>
  <si>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</si>
  <si>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</si>
  <si>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</si>
  <si>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</si>
  <si>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</si>
  <si>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</si>
  <si>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</si>
  <si>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</si>
  <si>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</si>
  <si>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</si>
  <si>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</si>
  <si>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</si>
  <si>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</si>
  <si>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</si>
  <si>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</si>
  <si>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</si>
  <si>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</si>
  <si>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</si>
  <si>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</si>
  <si>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</si>
  <si>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</si>
  <si>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</si>
  <si>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</si>
  <si>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</si>
  <si>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</si>
  <si>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</si>
  <si>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</si>
  <si>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</si>
  <si>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</si>
  <si>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</si>
  <si>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</si>
  <si>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</si>
  <si>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</si>
  <si>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</si>
  <si>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</si>
  <si>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</si>
  <si>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</si>
  <si>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</si>
  <si>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</si>
  <si>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</si>
  <si>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</si>
  <si>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</si>
  <si>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</si>
  <si>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</si>
  <si>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</si>
  <si>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</si>
  <si>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</si>
  <si>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</si>
  <si>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</si>
  <si>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</si>
  <si>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</si>
  <si>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</si>
  <si>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</si>
  <si>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</si>
  <si>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</si>
  <si>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</si>
  <si>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</si>
  <si>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</si>
  <si>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</si>
  <si>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</si>
  <si>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</si>
  <si>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</si>
  <si>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</si>
  <si>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</si>
  <si>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</si>
  <si>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</si>
  <si>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</si>
  <si>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</si>
  <si>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</si>
  <si>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</si>
  <si>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</si>
  <si>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</si>
  <si>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</si>
  <si>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</si>
  <si>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</si>
  <si>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</si>
  <si>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</si>
  <si>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</si>
  <si>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</si>
  <si>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</si>
  <si>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</si>
  <si>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</si>
  <si>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</si>
  <si>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</si>
  <si>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</si>
  <si>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</si>
  <si>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</si>
  <si>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</si>
  <si>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</si>
  <si>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</si>
  <si>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</si>
  <si>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</si>
  <si>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</si>
  <si>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</si>
  <si>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</si>
  <si>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</si>
  <si>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</si>
  <si>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</si>
  <si>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</si>
  <si>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</si>
  <si>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</si>
  <si>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</si>
  <si>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</si>
  <si>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</si>
  <si>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</si>
  <si>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</si>
  <si>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</si>
  <si>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</si>
  <si>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</si>
  <si>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</si>
  <si>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</si>
  <si>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</si>
  <si>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</si>
  <si>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</si>
  <si>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</si>
  <si>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</si>
  <si>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</si>
  <si>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</si>
  <si>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</si>
  <si>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</si>
  <si>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</si>
  <si>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</si>
  <si>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</si>
  <si>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</si>
  <si>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</si>
  <si>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</si>
  <si>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</si>
  <si>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</si>
  <si>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</si>
  <si>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</si>
  <si>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</si>
  <si>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</si>
  <si>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</si>
  <si>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</si>
  <si>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</si>
  <si>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</si>
  <si>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</si>
  <si>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</si>
  <si>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</si>
  <si>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</si>
  <si>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</si>
  <si>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</si>
  <si>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</si>
  <si>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</si>
  <si>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</si>
  <si>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</si>
  <si>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</si>
  <si>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</si>
  <si>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</si>
  <si>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</si>
  <si>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</si>
  <si>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</si>
  <si>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</si>
  <si>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</si>
  <si>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</si>
  <si>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</si>
  <si>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</si>
  <si>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</si>
  <si>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</si>
  <si>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</si>
  <si>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</si>
  <si>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</si>
  <si>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</si>
  <si>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</si>
  <si>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</si>
  <si>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</si>
  <si>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</si>
  <si>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</si>
  <si>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</si>
  <si>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</si>
  <si>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</si>
  <si>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</si>
  <si>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</si>
  <si>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</si>
  <si>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</si>
  <si>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</si>
  <si>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</si>
  <si>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</si>
  <si>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</si>
  <si>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</si>
  <si>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</si>
  <si>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</si>
  <si>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</si>
  <si>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</si>
  <si>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</si>
  <si>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</si>
  <si>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</si>
  <si>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</si>
  <si>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</si>
  <si>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</si>
  <si>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</si>
  <si>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</si>
  <si>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</si>
  <si>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</si>
  <si>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</si>
  <si>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</si>
  <si>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</si>
  <si>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</si>
  <si>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</si>
  <si>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</si>
  <si>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</si>
  <si>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</si>
  <si>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</si>
  <si>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</si>
  <si>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</si>
  <si>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</si>
  <si>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</si>
  <si>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</si>
  <si>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</si>
  <si>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</si>
  <si>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</si>
  <si>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</si>
  <si>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</si>
  <si>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</si>
  <si>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</si>
  <si>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</si>
  <si>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</si>
  <si>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</si>
  <si>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</si>
  <si>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</si>
  <si>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</si>
  <si>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</si>
  <si>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</si>
  <si>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</si>
  <si>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</si>
  <si>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</si>
  <si>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</si>
  <si>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</si>
  <si>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</si>
  <si>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</si>
  <si>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</si>
  <si>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</si>
  <si>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</si>
  <si>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</si>
  <si>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</si>
  <si>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</si>
  <si>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</si>
  <si>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</si>
  <si>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</si>
  <si>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</si>
  <si>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</si>
  <si>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</si>
  <si>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</si>
  <si>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</si>
  <si>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</si>
  <si>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</si>
  <si>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</si>
  <si>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</si>
  <si>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</si>
  <si>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</si>
  <si>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</si>
  <si>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</si>
  <si>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</si>
  <si>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</si>
  <si>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</si>
  <si>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</si>
  <si>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</si>
  <si>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</si>
  <si>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</si>
  <si>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</si>
  <si>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</si>
  <si>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</si>
  <si>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</si>
  <si>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</si>
  <si>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</si>
  <si>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</si>
  <si>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</si>
  <si>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</si>
  <si>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</si>
  <si>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</si>
  <si>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</si>
  <si>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</si>
  <si>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</si>
  <si>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</si>
  <si>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</si>
  <si>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</si>
  <si>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</si>
  <si>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</si>
  <si>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</si>
  <si>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</si>
  <si>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</si>
  <si>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</si>
  <si>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</si>
  <si>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</si>
  <si>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</si>
  <si>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</si>
  <si>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</si>
  <si>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</si>
  <si>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</si>
  <si>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</si>
  <si>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</si>
  <si>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</si>
  <si>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</si>
  <si>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</si>
  <si>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</si>
  <si>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</si>
  <si>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</si>
  <si>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</si>
  <si>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</si>
  <si>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</si>
  <si>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</si>
  <si>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</si>
  <si>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</si>
  <si>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</si>
  <si>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</si>
  <si>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</si>
  <si>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</si>
  <si>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</si>
  <si>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</si>
  <si>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</si>
  <si>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</si>
  <si>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</si>
  <si>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</si>
  <si>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</si>
  <si>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</si>
  <si>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</si>
  <si>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</si>
  <si>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</si>
  <si>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</si>
  <si>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</si>
  <si>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</si>
  <si>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</si>
  <si>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</si>
  <si>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</si>
  <si>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</si>
  <si>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</si>
  <si>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</si>
  <si>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</si>
  <si>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</si>
  <si>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</si>
  <si>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</si>
  <si>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</si>
  <si>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</si>
  <si>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</si>
  <si>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</si>
  <si>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</si>
  <si>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</si>
  <si>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</si>
  <si>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</si>
  <si>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</si>
  <si>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</si>
  <si>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</si>
  <si>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</si>
  <si>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</si>
  <si>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</si>
  <si>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</si>
  <si>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</si>
  <si>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</si>
  <si>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</si>
  <si>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</si>
  <si>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</si>
  <si>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</si>
  <si>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</si>
  <si>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</si>
  <si>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</si>
  <si>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</si>
  <si>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</si>
  <si>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</si>
  <si>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</si>
  <si>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</si>
  <si>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</si>
  <si>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</si>
  <si>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</si>
  <si>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</si>
  <si>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</si>
  <si>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</si>
  <si>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</si>
  <si>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</si>
  <si>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</si>
  <si>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</si>
  <si>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</si>
  <si>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</si>
  <si>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</si>
  <si>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</si>
  <si>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</si>
  <si>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</si>
  <si>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</si>
  <si>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</si>
  <si>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</si>
  <si>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</si>
  <si>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</si>
  <si>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</si>
  <si>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</si>
  <si>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</si>
  <si>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</si>
  <si>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</si>
  <si>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</si>
  <si>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</si>
  <si>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</si>
  <si>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</si>
  <si>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</si>
  <si>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</si>
  <si>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</si>
  <si>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</si>
  <si>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</si>
  <si>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</si>
  <si>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</si>
  <si>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</si>
  <si>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</si>
  <si>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</si>
  <si>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</si>
  <si>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</si>
  <si>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</si>
  <si>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</si>
  <si>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</si>
  <si>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</si>
  <si>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</si>
  <si>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</si>
  <si>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</si>
  <si>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</si>
  <si>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</si>
  <si>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</si>
  <si>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</si>
  <si>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</si>
  <si>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</si>
  <si>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</si>
  <si>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</si>
  <si>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</si>
  <si>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</si>
  <si>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</si>
  <si>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</si>
  <si>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</si>
  <si>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</si>
  <si>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</si>
  <si>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</si>
  <si>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</si>
  <si>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</si>
  <si>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</si>
  <si>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</si>
  <si>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</si>
  <si>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</si>
  <si>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</si>
  <si>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</si>
  <si>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</si>
  <si>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</si>
  <si>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</si>
  <si>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</si>
  <si>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</si>
  <si>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</si>
  <si>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</si>
  <si>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</si>
  <si>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</si>
  <si>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</si>
  <si>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</si>
  <si>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</si>
  <si>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</si>
  <si>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</si>
  <si>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</si>
  <si>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</si>
  <si>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</si>
  <si>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</si>
  <si>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</si>
  <si>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</si>
  <si>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</si>
  <si>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</si>
  <si>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</si>
  <si>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</si>
  <si>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</si>
  <si>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</si>
  <si>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</si>
  <si>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</si>
  <si>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</si>
  <si>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</si>
  <si>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</si>
  <si>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</si>
  <si>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</si>
  <si>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</si>
  <si>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</si>
  <si>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</si>
  <si>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</si>
  <si>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</si>
  <si>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</si>
  <si>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</si>
  <si>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</si>
  <si>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</si>
  <si>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</si>
  <si>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</si>
  <si>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</si>
  <si>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</si>
  <si>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</si>
  <si>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</si>
  <si>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</si>
  <si>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</si>
  <si>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</si>
  <si>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</si>
  <si>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</si>
  <si>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</si>
  <si>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</si>
  <si>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</si>
  <si>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</si>
  <si>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</si>
  <si>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</si>
  <si>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</si>
  <si>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</si>
  <si>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</si>
  <si>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</si>
  <si>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</si>
  <si>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</si>
  <si>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</si>
  <si>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</si>
  <si>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</si>
  <si>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</si>
  <si>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</si>
  <si>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</si>
  <si>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</si>
  <si>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</si>
  <si>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</si>
  <si>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</si>
  <si>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</si>
  <si>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</si>
  <si>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</si>
  <si>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</si>
  <si>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</si>
  <si>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</si>
  <si>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</si>
  <si>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</si>
  <si>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</si>
  <si>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</si>
  <si>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</si>
  <si>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</si>
  <si>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</si>
  <si>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</si>
  <si>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</si>
  <si>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</si>
  <si>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</si>
  <si>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</si>
  <si>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</si>
  <si>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</si>
  <si>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</si>
  <si>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</si>
  <si>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</si>
  <si>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</si>
  <si>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</si>
  <si>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</si>
  <si>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</si>
  <si>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</si>
  <si>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</si>
  <si>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</si>
  <si>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</si>
  <si>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</si>
  <si>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</si>
  <si>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</si>
  <si>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</si>
  <si>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</si>
  <si>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</si>
  <si>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</si>
  <si>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</si>
  <si>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</si>
  <si>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</si>
  <si>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</si>
  <si>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</si>
  <si>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</si>
  <si>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</si>
  <si>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</si>
  <si>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</si>
  <si>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</si>
  <si>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</si>
  <si>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</si>
  <si>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</si>
  <si>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</si>
  <si>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</si>
  <si>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</si>
  <si>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</si>
  <si>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</si>
  <si>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</si>
  <si>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</si>
  <si>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</si>
  <si>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</si>
  <si>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</si>
  <si>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</si>
  <si>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</si>
  <si>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</si>
  <si>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</si>
  <si>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</si>
  <si>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</si>
  <si>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</si>
  <si>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</si>
  <si>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</si>
  <si>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</si>
  <si>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</si>
  <si>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</si>
  <si>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</si>
  <si>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</si>
  <si>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</si>
  <si>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</si>
  <si>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</si>
  <si>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</si>
  <si>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</si>
  <si>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</si>
  <si>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</si>
  <si>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</si>
  <si>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</si>
  <si>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</si>
  <si>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</si>
  <si>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</si>
  <si>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</si>
  <si>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</si>
  <si>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</si>
  <si>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</si>
  <si>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</si>
  <si>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</si>
  <si>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</si>
  <si>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</si>
  <si>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</si>
  <si>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</si>
  <si>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</si>
  <si>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</si>
  <si>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</si>
  <si>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</si>
  <si>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</si>
  <si>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</si>
  <si>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</si>
  <si>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</si>
  <si>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</si>
  <si>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</si>
  <si>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</si>
  <si>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</si>
  <si>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</si>
  <si>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</si>
  <si>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</si>
  <si>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</si>
  <si>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</si>
  <si>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</si>
  <si>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</si>
  <si>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</si>
  <si>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</si>
  <si>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</si>
  <si>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</si>
  <si>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</si>
  <si>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</si>
  <si>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</si>
  <si>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</si>
  <si>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</si>
  <si>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</si>
  <si>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</si>
  <si>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</si>
  <si>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</si>
  <si>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</si>
  <si>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</si>
  <si>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</si>
  <si>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</si>
  <si>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</si>
  <si>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</si>
  <si>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</si>
  <si>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</si>
  <si>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</si>
  <si>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</si>
  <si>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</si>
  <si>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</si>
  <si>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</si>
  <si>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</si>
  <si>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</si>
  <si>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</si>
  <si>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</si>
  <si>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</si>
  <si>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</si>
  <si>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</si>
  <si>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</si>
  <si>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</si>
  <si>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</si>
  <si>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</si>
  <si>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</si>
  <si>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</si>
  <si>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</si>
  <si>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</si>
  <si>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</si>
  <si>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</si>
  <si>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</si>
  <si>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</si>
  <si>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</si>
  <si>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</si>
  <si>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</si>
  <si>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</si>
  <si>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</si>
  <si>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</si>
  <si>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</si>
  <si>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</si>
  <si>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</si>
  <si>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</si>
  <si>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</si>
  <si>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</si>
  <si>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</si>
  <si>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</si>
  <si>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</si>
  <si>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</si>
  <si>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</si>
  <si>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</si>
  <si>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</si>
  <si>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</si>
  <si>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</si>
  <si>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</si>
  <si>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</si>
  <si>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</si>
  <si>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</si>
  <si>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</si>
  <si>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</si>
  <si>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</si>
  <si>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</si>
  <si>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</si>
  <si>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</si>
  <si>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</si>
  <si>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</si>
  <si>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</si>
  <si>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</si>
  <si>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</si>
  <si>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</si>
  <si>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</si>
  <si>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</si>
  <si>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</si>
  <si>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</si>
  <si>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</si>
  <si>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</si>
  <si>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</si>
  <si>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</si>
  <si>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</si>
  <si>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</si>
  <si>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</si>
  <si>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</si>
  <si>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</si>
  <si>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</si>
  <si>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</si>
  <si>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</si>
  <si>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</si>
  <si>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</si>
  <si>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</si>
  <si>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</si>
  <si>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</si>
  <si>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</si>
  <si>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</si>
  <si>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</si>
  <si>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</si>
  <si>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</si>
  <si>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</si>
  <si>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</si>
  <si>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</si>
  <si>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</si>
  <si>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</si>
  <si>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</si>
  <si>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</si>
  <si>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</si>
  <si>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</si>
  <si>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</si>
  <si>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</si>
  <si>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</si>
  <si>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</si>
  <si>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</si>
  <si>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</si>
  <si>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</si>
  <si>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</si>
  <si>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</si>
  <si>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</si>
  <si>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</si>
  <si>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</si>
  <si>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</si>
  <si>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</si>
  <si>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</si>
  <si>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</si>
  <si>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</si>
  <si>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</si>
  <si>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</si>
  <si>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</si>
  <si>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</si>
  <si>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</si>
  <si>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</si>
  <si>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</si>
  <si>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</si>
  <si>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</si>
  <si>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</si>
  <si>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</si>
  <si>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</si>
  <si>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</si>
  <si>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</si>
  <si>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</si>
  <si>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</si>
  <si>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</si>
  <si>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</si>
  <si>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</si>
  <si>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</si>
  <si>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</si>
  <si>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</si>
  <si>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</si>
  <si>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</si>
  <si>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</si>
  <si>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</si>
  <si>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</si>
  <si>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</si>
  <si>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</si>
  <si>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</si>
  <si>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</si>
  <si>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</si>
  <si>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</si>
  <si>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</si>
  <si>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</si>
  <si>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</si>
  <si>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</si>
  <si>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</si>
  <si>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</si>
  <si>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</si>
  <si>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</si>
  <si>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</si>
  <si>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</si>
  <si>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</si>
  <si>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</si>
  <si>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</si>
  <si>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</si>
  <si>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</si>
  <si>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</si>
  <si>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</si>
  <si>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</si>
  <si>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</si>
  <si>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</si>
  <si>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</si>
  <si>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</si>
  <si>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</si>
  <si>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</si>
  <si>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</si>
  <si>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</si>
  <si>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</si>
  <si>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</si>
  <si>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</si>
  <si>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</si>
  <si>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</si>
  <si>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</si>
  <si>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</si>
  <si>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</si>
  <si>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</si>
  <si>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</si>
  <si>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</si>
  <si>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</si>
  <si>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</si>
  <si>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</si>
  <si>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</si>
  <si>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</si>
  <si>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</si>
  <si>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</si>
  <si>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</si>
  <si>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</si>
  <si>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</si>
  <si>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</si>
  <si>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</si>
  <si>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</si>
  <si>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</si>
  <si>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</si>
  <si>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</si>
  <si>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</si>
  <si>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</si>
  <si>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</si>
  <si>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</si>
  <si>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</si>
  <si>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</si>
  <si>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</si>
  <si>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</si>
  <si>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</si>
  <si>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</si>
  <si>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</si>
  <si>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</si>
  <si>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</si>
  <si>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</si>
  <si>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</si>
  <si>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</si>
  <si>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</si>
  <si>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</si>
  <si>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</si>
  <si>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</si>
  <si>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</si>
  <si>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</si>
  <si>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</si>
  <si>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</si>
  <si>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</si>
  <si>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</si>
  <si>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</si>
  <si>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</si>
  <si>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</si>
  <si>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</si>
  <si>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</si>
  <si>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</si>
  <si>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</si>
  <si>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</si>
  <si>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</si>
  <si>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</si>
  <si>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</si>
  <si>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</si>
  <si>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</si>
  <si>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</si>
  <si>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</si>
  <si>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</si>
  <si>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</si>
  <si>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</si>
  <si>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</si>
  <si>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</si>
  <si>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</si>
  <si>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</si>
  <si>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</si>
  <si>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</si>
  <si>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</si>
  <si>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</si>
  <si>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</si>
  <si>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</si>
  <si>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</si>
  <si>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</si>
  <si>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</si>
  <si>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</si>
  <si>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</si>
  <si>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</si>
  <si>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</si>
  <si>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</si>
  <si>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</si>
  <si>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</si>
  <si>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</si>
  <si>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</si>
  <si>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</si>
  <si>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</si>
  <si>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</si>
  <si>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</si>
  <si>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</si>
  <si>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</si>
  <si>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</si>
  <si>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</si>
  <si>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</si>
  <si>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</si>
  <si>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</si>
  <si>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</si>
  <si>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</si>
  <si>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</si>
  <si>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</si>
  <si>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</si>
  <si>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</si>
  <si>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</si>
  <si>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</si>
  <si>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</si>
  <si>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</si>
  <si>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</si>
  <si>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</si>
  <si>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</si>
  <si>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</si>
  <si>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</si>
  <si>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</si>
  <si>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</si>
  <si>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</si>
  <si>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</si>
  <si>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</si>
  <si>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</si>
  <si>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</si>
  <si>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</si>
  <si>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</si>
  <si>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</si>
  <si>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</si>
  <si>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</si>
  <si>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</si>
  <si>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</si>
  <si>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</si>
  <si>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</si>
  <si>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</si>
  <si>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</si>
  <si>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</si>
  <si>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</si>
  <si>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</si>
  <si>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</si>
  <si>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</si>
  <si>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</si>
  <si>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</si>
  <si>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</si>
  <si>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</si>
  <si>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</si>
  <si>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</si>
  <si>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</si>
  <si>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</si>
  <si>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</si>
  <si>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</si>
  <si>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</si>
  <si>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</si>
  <si>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</si>
  <si>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</si>
  <si>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</si>
  <si>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</si>
  <si>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</si>
  <si>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</si>
  <si>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</si>
  <si>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</si>
  <si>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</si>
  <si>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</si>
  <si>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</si>
  <si>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</si>
  <si>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</si>
  <si>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</si>
  <si>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</si>
  <si>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</si>
  <si>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</si>
  <si>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</si>
  <si>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</si>
  <si>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</si>
  <si>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</si>
  <si>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</si>
  <si>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</si>
  <si>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</si>
  <si>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</si>
  <si>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</si>
  <si>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</si>
  <si>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</si>
  <si>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</si>
  <si>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</si>
  <si>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</si>
  <si>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</si>
  <si>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</si>
  <si>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</si>
  <si>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</si>
  <si>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</si>
  <si>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</si>
  <si>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</si>
  <si>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</si>
  <si>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</si>
  <si>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</si>
  <si>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</si>
  <si>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</si>
  <si>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</si>
  <si>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</si>
  <si>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</si>
  <si>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</si>
  <si>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</si>
  <si>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</si>
  <si>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</si>
  <si>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</si>
  <si>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</si>
  <si>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</si>
  <si>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</si>
  <si>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</si>
  <si>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</si>
  <si>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</si>
  <si>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</si>
  <si>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</si>
  <si>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</si>
  <si>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</si>
  <si>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</si>
  <si>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</si>
  <si>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</si>
  <si>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</si>
  <si>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</si>
  <si>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</si>
  <si>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</si>
  <si>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</si>
  <si>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</si>
  <si>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</si>
  <si>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</si>
  <si>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</si>
  <si>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</si>
  <si>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</si>
  <si>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</si>
  <si>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</si>
  <si>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</si>
  <si>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</si>
  <si>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</si>
  <si>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</si>
  <si>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</si>
  <si>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</si>
  <si>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</si>
  <si>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</si>
  <si>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</si>
  <si>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</si>
  <si>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</si>
  <si>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</si>
  <si>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</si>
  <si>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</si>
  <si>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</si>
  <si>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</si>
  <si>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</si>
  <si>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</si>
  <si>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</si>
  <si>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</si>
  <si>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</si>
  <si>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</si>
  <si>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</si>
  <si>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</si>
  <si>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</si>
  <si>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</si>
  <si>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</si>
  <si>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</si>
  <si>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</si>
  <si>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</si>
  <si>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</si>
  <si>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</si>
  <si>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</si>
  <si>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</si>
  <si>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</si>
  <si>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</si>
  <si>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</si>
  <si>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</si>
  <si>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</si>
  <si>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</si>
  <si>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</si>
  <si>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</si>
  <si>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</si>
  <si>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</si>
  <si>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</si>
  <si>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</si>
  <si>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</si>
  <si>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</si>
  <si>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</si>
  <si>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</si>
  <si>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</si>
  <si>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</si>
  <si>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</si>
  <si>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</si>
  <si>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</si>
  <si>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</si>
  <si>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</si>
  <si>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</si>
  <si>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</si>
  <si>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</si>
  <si>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</si>
  <si>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</si>
  <si>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</si>
  <si>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</si>
  <si>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</si>
  <si>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</si>
  <si>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</si>
  <si>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</si>
  <si>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</si>
  <si>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</si>
  <si>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</si>
  <si>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</si>
  <si>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</si>
  <si>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</si>
  <si>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</si>
  <si>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</si>
  <si>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</si>
  <si>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</si>
  <si>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</si>
  <si>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</si>
  <si>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</si>
  <si>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</si>
  <si>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</si>
  <si>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</si>
  <si>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</si>
  <si>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</si>
  <si>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</si>
  <si>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</si>
  <si>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</si>
  <si>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</si>
  <si>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</si>
  <si>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</si>
  <si>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</si>
  <si>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</si>
  <si>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</si>
  <si>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</si>
  <si>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</si>
  <si>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</si>
  <si>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</si>
  <si>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</si>
  <si>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</si>
  <si>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</si>
  <si>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</si>
  <si>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</si>
  <si>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</si>
  <si>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</si>
  <si>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</si>
  <si>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</si>
  <si>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</si>
  <si>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</si>
  <si>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</si>
  <si>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</si>
  <si>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</si>
  <si>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</si>
  <si>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</si>
  <si>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</si>
  <si>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</si>
  <si>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</si>
  <si>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</si>
  <si>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</si>
  <si>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</si>
  <si>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</si>
  <si>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</si>
  <si>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</si>
  <si>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</si>
  <si>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</si>
  <si>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</si>
  <si>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</si>
  <si>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</si>
  <si>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</si>
  <si>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</si>
  <si>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</si>
  <si>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</si>
  <si>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</si>
  <si>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</si>
  <si>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</si>
  <si>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</si>
  <si>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</si>
  <si>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</si>
  <si>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</si>
  <si>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</si>
  <si>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</si>
  <si>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</si>
  <si>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</si>
  <si>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</si>
  <si>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</si>
  <si>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</si>
  <si>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</si>
  <si>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</si>
  <si>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</si>
  <si>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</si>
  <si>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</si>
  <si>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</si>
  <si>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</si>
  <si>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</si>
  <si>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</si>
  <si>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</si>
  <si>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</si>
  <si>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</si>
  <si>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</si>
  <si>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</si>
  <si>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</si>
  <si>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</si>
  <si>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</si>
  <si>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</si>
  <si>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</si>
  <si>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</si>
  <si>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</si>
  <si>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</si>
  <si>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</si>
  <si>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</si>
  <si>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</si>
  <si>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</si>
  <si>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</si>
  <si>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</si>
  <si>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</si>
  <si>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</si>
  <si>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</si>
  <si>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</si>
  <si>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</si>
  <si>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</si>
  <si>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</si>
  <si>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</si>
  <si>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</si>
  <si>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</si>
  <si>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</si>
  <si>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</si>
  <si>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</si>
  <si>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</si>
  <si>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</si>
  <si>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</si>
  <si>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</si>
  <si>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</si>
  <si>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</si>
  <si>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</si>
  <si>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</si>
  <si>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</si>
  <si>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</si>
  <si>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</si>
  <si>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</si>
  <si>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</si>
  <si>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</si>
  <si>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</si>
  <si>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</si>
  <si>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</si>
  <si>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</si>
  <si>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</si>
  <si>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</si>
  <si>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</si>
  <si>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</si>
  <si>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</si>
  <si>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</si>
  <si>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</si>
  <si>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</si>
  <si>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</si>
  <si>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</si>
  <si>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</si>
  <si>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</si>
  <si>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</si>
  <si>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</si>
  <si>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</si>
  <si>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</si>
  <si>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</si>
  <si>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</si>
  <si>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</si>
  <si>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</si>
  <si>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</si>
  <si>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</si>
  <si>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</si>
  <si>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</si>
  <si>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</si>
  <si>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</si>
  <si>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</si>
  <si>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</si>
  <si>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</si>
  <si>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</si>
  <si>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</si>
  <si>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</si>
  <si>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</si>
  <si>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</si>
  <si>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</si>
  <si>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</si>
  <si>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</si>
  <si>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</si>
  <si>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</si>
  <si>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</si>
  <si>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</si>
  <si>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</si>
  <si>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</si>
  <si>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</si>
  <si>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</si>
  <si>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</si>
  <si>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</si>
  <si>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</si>
  <si>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</si>
  <si>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</si>
  <si>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</si>
  <si>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</si>
  <si>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</si>
  <si>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</si>
  <si>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</si>
  <si>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</si>
  <si>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</si>
  <si>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</si>
  <si>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</si>
  <si>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</si>
  <si>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</si>
  <si>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</si>
  <si>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</si>
  <si>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</si>
  <si>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</si>
  <si>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</si>
  <si>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</si>
  <si>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</si>
  <si>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</si>
  <si>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</si>
  <si>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</si>
  <si>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</si>
  <si>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</si>
  <si>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</si>
  <si>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</si>
  <si>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</si>
  <si>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</si>
  <si>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</si>
  <si>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</si>
  <si>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</si>
  <si>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</si>
  <si>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</si>
  <si>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</si>
  <si>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</si>
  <si>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</si>
  <si>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</si>
  <si>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</si>
  <si>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</si>
  <si>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</si>
  <si>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</si>
  <si>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</si>
  <si>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</si>
  <si>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</si>
  <si>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</si>
  <si>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</si>
  <si>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</si>
  <si>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</si>
  <si>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</si>
  <si>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</si>
  <si>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</si>
  <si>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</si>
  <si>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</si>
  <si>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</si>
  <si>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</si>
  <si>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</si>
  <si>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</si>
  <si>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</si>
  <si>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</si>
  <si>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</si>
  <si>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</si>
  <si>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</si>
  <si>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</si>
  <si>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</si>
  <si>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</si>
  <si>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</si>
  <si>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</si>
  <si>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</si>
  <si>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</si>
  <si>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</si>
  <si>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</si>
  <si>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</si>
  <si>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</si>
  <si>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</si>
  <si>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</si>
  <si>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</si>
  <si>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</si>
  <si>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</si>
  <si>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</si>
  <si>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</si>
  <si>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</si>
  <si>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</si>
  <si>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</si>
  <si>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</si>
  <si>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</si>
  <si>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</si>
  <si>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</si>
  <si>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</si>
  <si>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</si>
  <si>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</si>
  <si>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</si>
  <si>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</si>
  <si>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</si>
  <si>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</si>
  <si>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</si>
  <si>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</si>
  <si>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</si>
  <si>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</si>
  <si>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</si>
  <si>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</si>
  <si>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</si>
  <si>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</si>
  <si>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</si>
  <si>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</si>
  <si>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</si>
  <si>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</si>
  <si>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</si>
  <si>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</si>
  <si>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</si>
  <si>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</si>
  <si>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</si>
  <si>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</si>
  <si>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</si>
  <si>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</si>
  <si>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</si>
  <si>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</si>
  <si>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</si>
  <si>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</si>
  <si>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</si>
  <si>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</si>
  <si>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</si>
  <si>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</si>
  <si>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</si>
  <si>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</si>
  <si>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</si>
  <si>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</si>
  <si>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</si>
  <si>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</si>
  <si>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</si>
  <si>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</si>
  <si>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</si>
  <si>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</si>
  <si>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</si>
  <si>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</si>
  <si>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</si>
  <si>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</si>
  <si>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</si>
  <si>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</si>
  <si>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</si>
  <si>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</si>
  <si>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</si>
  <si>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</si>
  <si>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</si>
  <si>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</si>
  <si>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</si>
  <si>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</si>
  <si>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</si>
  <si>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</si>
  <si>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</si>
  <si>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</si>
  <si>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</si>
  <si>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</si>
  <si>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</si>
  <si>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</si>
  <si>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</si>
  <si>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</si>
  <si>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</si>
  <si>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</si>
  <si>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</si>
  <si>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</si>
  <si>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</si>
  <si>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</si>
  <si>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</si>
  <si>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</si>
  <si>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</si>
  <si>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</si>
  <si>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</si>
  <si>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</si>
  <si>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</si>
  <si>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</si>
  <si>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</si>
  <si>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</si>
  <si>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</si>
  <si>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</si>
  <si>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</si>
  <si>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</si>
  <si>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</si>
  <si>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</si>
  <si>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</si>
  <si>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</si>
  <si>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</si>
  <si>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</si>
  <si>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</si>
  <si>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</si>
  <si>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</si>
  <si>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</si>
  <si>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</si>
  <si>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</si>
  <si>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</si>
  <si>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</si>
  <si>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</si>
  <si>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</si>
  <si>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</si>
  <si>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</si>
  <si>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</si>
  <si>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</si>
  <si>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</si>
  <si>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</si>
  <si>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</si>
  <si>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</si>
  <si>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</si>
  <si>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</si>
  <si>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</si>
  <si>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</si>
  <si>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</si>
  <si>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</si>
  <si>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</si>
  <si>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</si>
  <si>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</si>
  <si>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</si>
  <si>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</si>
  <si>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</si>
  <si>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</si>
  <si>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</si>
  <si>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</si>
  <si>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</si>
  <si>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</si>
  <si>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</si>
  <si>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</si>
  <si>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</si>
  <si>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</si>
  <si>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</si>
  <si>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</si>
  <si>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</si>
  <si>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</si>
  <si>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</si>
  <si>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</si>
  <si>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</si>
  <si>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</si>
  <si>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</si>
  <si>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</si>
  <si>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</si>
  <si>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</si>
  <si>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</si>
  <si>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</si>
  <si>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</si>
  <si>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</si>
  <si>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</si>
  <si>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</si>
  <si>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</si>
  <si>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</si>
  <si>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</si>
  <si>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</si>
  <si>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</si>
  <si>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</si>
  <si>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</si>
  <si>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</si>
  <si>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</si>
  <si>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</si>
  <si>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</si>
  <si>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</si>
  <si>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</si>
  <si>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</si>
  <si>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</si>
  <si>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</si>
  <si>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</si>
  <si>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</si>
  <si>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</si>
  <si>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</si>
  <si>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</si>
  <si>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</si>
  <si>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</si>
  <si>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</si>
  <si>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</si>
  <si>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</si>
  <si>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</si>
  <si>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</si>
  <si>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</si>
  <si>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</si>
  <si>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</si>
  <si>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</si>
  <si>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</si>
  <si>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</si>
  <si>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</si>
  <si>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</si>
  <si>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</si>
  <si>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</si>
  <si>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</si>
  <si>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</si>
  <si>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</si>
  <si>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</si>
  <si>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</si>
  <si>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</si>
  <si>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</si>
  <si>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</si>
  <si>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</si>
  <si>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</si>
  <si>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</si>
  <si>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</si>
  <si>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</si>
  <si>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</si>
  <si>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</si>
  <si>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</si>
  <si>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</si>
  <si>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</si>
  <si>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</si>
  <si>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</si>
  <si>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</si>
  <si>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</si>
  <si>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</si>
  <si>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</si>
  <si>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</si>
  <si>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</si>
  <si>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</si>
  <si>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</si>
  <si>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</si>
  <si>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</si>
  <si>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</si>
  <si>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</si>
  <si>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</si>
  <si>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</si>
  <si>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</si>
  <si>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</si>
  <si>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</si>
  <si>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</si>
  <si>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</si>
  <si>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</si>
  <si>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</si>
  <si>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</si>
  <si>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</si>
  <si>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</si>
  <si>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</si>
  <si>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</si>
  <si>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</si>
  <si>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</si>
  <si>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</si>
  <si>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</si>
  <si>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</si>
  <si>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</si>
  <si>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</si>
  <si>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</si>
  <si>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</si>
  <si>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</si>
  <si>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</si>
  <si>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</si>
  <si>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</si>
  <si>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</si>
  <si>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</si>
  <si>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</si>
  <si>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</si>
  <si>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</si>
  <si>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</si>
  <si>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</si>
  <si>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</si>
  <si>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</si>
  <si>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</si>
  <si>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</si>
  <si>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</si>
  <si>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</si>
  <si>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</si>
  <si>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</si>
  <si>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</si>
  <si>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</si>
  <si>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</si>
  <si>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</si>
  <si>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</si>
  <si>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</si>
  <si>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</si>
  <si>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</si>
  <si>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</si>
  <si>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</si>
  <si>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</si>
  <si>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</si>
  <si>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</si>
  <si>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</si>
  <si>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</si>
  <si>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</si>
  <si>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</si>
  <si>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</si>
  <si>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</si>
  <si>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</si>
  <si>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</si>
  <si>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</si>
  <si>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</si>
  <si>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</si>
  <si>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</si>
  <si>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</si>
  <si>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</si>
  <si>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</si>
  <si>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</si>
  <si>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</si>
  <si>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</si>
  <si>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</si>
  <si>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</si>
  <si>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</si>
  <si>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</si>
  <si>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</si>
  <si>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</si>
  <si>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</si>
  <si>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</si>
  <si>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</si>
  <si>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</si>
  <si>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</si>
  <si>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</si>
  <si>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</si>
  <si>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</si>
  <si>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</si>
  <si>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</si>
  <si>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</si>
  <si>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</si>
  <si>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</si>
  <si>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</si>
  <si>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</si>
  <si>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</si>
  <si>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</si>
  <si>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</si>
  <si>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</si>
  <si>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</si>
  <si>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</si>
  <si>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</si>
  <si>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</si>
  <si>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</si>
  <si>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</si>
  <si>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</si>
  <si>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</si>
  <si>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</si>
  <si>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</si>
  <si>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</si>
  <si>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</si>
  <si>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</si>
  <si>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</si>
  <si>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</si>
  <si>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</si>
  <si>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</si>
  <si>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</si>
  <si>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</si>
  <si>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</si>
  <si>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</si>
  <si>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</si>
  <si>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</si>
  <si>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</si>
  <si>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</si>
  <si>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</si>
  <si>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</si>
  <si>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</si>
  <si>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</si>
  <si>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</si>
  <si>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</si>
  <si>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</si>
  <si>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</si>
  <si>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</si>
  <si>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</si>
  <si>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</si>
  <si>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</si>
  <si>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</si>
  <si>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</si>
  <si>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</si>
  <si>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</si>
  <si>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</si>
  <si>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</si>
  <si>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</si>
  <si>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</si>
  <si>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</si>
  <si>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</si>
  <si>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</si>
  <si>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</si>
  <si>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</si>
  <si>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</si>
  <si>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</si>
  <si>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</si>
  <si>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</si>
  <si>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</si>
  <si>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</si>
  <si>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</si>
  <si>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</si>
  <si>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</si>
  <si>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</si>
  <si>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</si>
  <si>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</si>
  <si>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</si>
  <si>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</si>
  <si>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</si>
  <si>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</si>
  <si>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</si>
  <si>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</si>
  <si>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</si>
  <si>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</si>
  <si>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</si>
  <si>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</si>
  <si>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</si>
  <si>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</si>
  <si>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</si>
  <si>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</si>
  <si>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</si>
  <si>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</si>
  <si>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</si>
  <si>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</si>
  <si>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</si>
  <si>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</si>
  <si>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</si>
  <si>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</si>
  <si>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</si>
  <si>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</si>
  <si>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</si>
  <si>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</si>
  <si>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</si>
  <si>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</si>
  <si>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</si>
  <si>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</si>
  <si>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</si>
  <si>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</si>
  <si>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</si>
  <si>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</si>
  <si>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</si>
  <si>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</si>
  <si>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</si>
  <si>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</si>
  <si>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</si>
  <si>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</si>
  <si>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</si>
  <si>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</si>
  <si>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</si>
  <si>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</si>
  <si>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</si>
  <si>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</si>
  <si>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</si>
  <si>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</si>
  <si>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</si>
  <si>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</si>
  <si>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</si>
  <si>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</si>
  <si>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</si>
  <si>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</si>
  <si>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</si>
  <si>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</si>
  <si>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</si>
  <si>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</si>
  <si>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</si>
  <si>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</si>
  <si>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</si>
  <si>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</si>
  <si>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</si>
  <si>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</si>
  <si>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</si>
  <si>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</si>
  <si>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</si>
  <si>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</si>
  <si>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</si>
  <si>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</si>
  <si>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</si>
  <si>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</si>
  <si>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</si>
  <si>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</si>
  <si>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</si>
  <si>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</si>
  <si>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</si>
  <si>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</si>
  <si>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</si>
  <si>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</si>
  <si>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</si>
  <si>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</si>
  <si>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</si>
  <si>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</si>
  <si>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</si>
  <si>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</si>
  <si>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</si>
  <si>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</si>
  <si>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</si>
  <si>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</si>
  <si>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</si>
  <si>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</si>
  <si>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</si>
  <si>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</si>
  <si>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</si>
  <si>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</si>
  <si>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</si>
  <si>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</si>
  <si>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</si>
  <si>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</si>
  <si>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</si>
  <si>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</si>
  <si>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</si>
  <si>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</si>
  <si>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</si>
  <si>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</si>
  <si>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</si>
  <si>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</si>
  <si>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</si>
  <si>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</si>
  <si>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</si>
  <si>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</si>
  <si>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</si>
  <si>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</si>
  <si>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</si>
  <si>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</si>
  <si>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</si>
  <si>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</si>
  <si>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</si>
  <si>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</si>
  <si>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</si>
  <si>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</si>
  <si>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</si>
  <si>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</si>
  <si>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</si>
  <si>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</si>
  <si>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</si>
  <si>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</si>
  <si>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</si>
  <si>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</si>
  <si>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</si>
  <si>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</si>
  <si>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</si>
  <si>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</si>
  <si>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</si>
  <si>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</si>
  <si>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</si>
  <si>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</si>
  <si>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</si>
  <si>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</si>
  <si>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</si>
  <si>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</si>
  <si>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</si>
  <si>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</si>
  <si>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</si>
  <si>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</si>
  <si>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</si>
  <si>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</si>
  <si>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</si>
  <si>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</si>
  <si>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</si>
  <si>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</si>
  <si>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</si>
  <si>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</si>
  <si>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</si>
  <si>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</si>
  <si>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</si>
  <si>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</si>
  <si>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</si>
  <si>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</si>
  <si>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</si>
  <si>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</si>
  <si>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</si>
  <si>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</si>
  <si>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</si>
  <si>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</si>
  <si>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</si>
  <si>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</si>
  <si>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</si>
  <si>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</si>
  <si>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</si>
  <si>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</si>
  <si>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</si>
  <si>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</si>
  <si>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</si>
  <si>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</si>
  <si>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</si>
  <si>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</si>
  <si>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</si>
  <si>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</si>
  <si>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</si>
  <si>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</si>
  <si>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</si>
  <si>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</si>
  <si>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</si>
  <si>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</si>
  <si>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</si>
  <si>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</si>
  <si>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</si>
  <si>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</si>
  <si>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</si>
  <si>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</si>
  <si>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</si>
  <si>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</si>
  <si>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</si>
  <si>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</si>
  <si>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</si>
  <si>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</si>
  <si>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</si>
  <si>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</si>
  <si>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</si>
  <si>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</si>
  <si>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</si>
  <si>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</si>
  <si>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</si>
  <si>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</si>
  <si>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</si>
  <si>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</si>
  <si>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</si>
  <si>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</si>
  <si>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</si>
  <si>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</si>
  <si>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</si>
  <si>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</si>
  <si>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</si>
  <si>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</si>
  <si>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</si>
  <si>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</si>
  <si>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</si>
  <si>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</si>
  <si>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</si>
  <si>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</si>
  <si>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</si>
  <si>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</si>
  <si>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</si>
  <si>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</si>
  <si>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</si>
  <si>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</si>
  <si>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</si>
  <si>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</si>
  <si>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</si>
  <si>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</si>
  <si>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</si>
  <si>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</si>
  <si>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</si>
  <si>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</si>
  <si>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</si>
  <si>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</si>
  <si>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</si>
  <si>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</si>
  <si>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</si>
  <si>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</si>
  <si>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</si>
  <si>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</si>
  <si>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</si>
  <si>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</si>
  <si>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</si>
  <si>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</si>
  <si>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</si>
  <si>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</si>
  <si>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</si>
  <si>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</si>
  <si>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</si>
  <si>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</si>
  <si>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</si>
  <si>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</si>
  <si>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</si>
  <si>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</si>
  <si>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</si>
  <si>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</si>
  <si>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</si>
  <si>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</si>
  <si>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</si>
  <si>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</si>
  <si>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</si>
  <si>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</si>
  <si>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</si>
  <si>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</si>
  <si>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</si>
  <si>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</si>
  <si>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</si>
  <si>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</si>
  <si>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</si>
  <si>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</si>
  <si>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</si>
  <si>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</si>
  <si>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</si>
  <si>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</si>
  <si>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</si>
  <si>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</si>
  <si>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</si>
  <si>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</si>
  <si>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</si>
  <si>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</si>
  <si>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</si>
  <si>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</si>
  <si>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</si>
  <si>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</si>
  <si>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</si>
  <si>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</si>
  <si>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</si>
  <si>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</si>
  <si>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</si>
  <si>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</si>
  <si>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</si>
  <si>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</si>
  <si>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</si>
  <si>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</si>
  <si>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</si>
  <si>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</si>
  <si>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</si>
  <si>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</si>
  <si>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</si>
  <si>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</si>
  <si>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</si>
  <si>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</si>
  <si>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</si>
  <si>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</si>
  <si>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</si>
  <si>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</si>
  <si>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</si>
  <si>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</si>
  <si>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</si>
  <si>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</si>
  <si>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</si>
  <si>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</si>
  <si>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</si>
  <si>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</si>
  <si>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</si>
  <si>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</si>
  <si>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</si>
  <si>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</si>
  <si>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</si>
  <si>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</si>
  <si>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</si>
  <si>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</si>
  <si>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</si>
  <si>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</si>
  <si>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</si>
  <si>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</si>
  <si>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</si>
  <si>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</si>
  <si>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</si>
  <si>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</si>
  <si>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</si>
  <si>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</si>
  <si>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</si>
  <si>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</si>
  <si>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</si>
  <si>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</si>
  <si>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</si>
  <si>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</si>
  <si>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</si>
  <si>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</si>
  <si>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</si>
  <si>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</si>
  <si>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</si>
  <si>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</si>
  <si>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</si>
  <si>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</si>
  <si>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</si>
  <si>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</si>
  <si>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</si>
  <si>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</si>
  <si>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</si>
  <si>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</si>
  <si>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</si>
  <si>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</si>
  <si>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</si>
  <si>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</si>
  <si>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</si>
  <si>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</si>
  <si>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</si>
  <si>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</si>
  <si>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</si>
  <si>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</si>
  <si>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</si>
  <si>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</si>
  <si>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</si>
  <si>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</si>
  <si>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</si>
  <si>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</si>
  <si>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</si>
  <si>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</si>
  <si>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</si>
  <si>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</si>
  <si>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</si>
  <si>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</si>
  <si>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</si>
  <si>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</si>
  <si>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</si>
  <si>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</si>
  <si>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</si>
  <si>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</si>
  <si>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</si>
  <si>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</si>
  <si>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</si>
  <si>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</si>
  <si>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</si>
  <si>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</si>
  <si>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</si>
  <si>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</si>
  <si>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</si>
  <si>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</si>
  <si>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</si>
  <si>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</si>
  <si>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</si>
  <si>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</si>
  <si>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</si>
  <si>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</si>
  <si>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</si>
  <si>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</si>
  <si>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</si>
  <si>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</si>
  <si>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</si>
  <si>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</si>
  <si>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</si>
  <si>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</si>
  <si>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</si>
  <si>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</si>
  <si>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</si>
  <si>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</si>
  <si>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</si>
  <si>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</si>
  <si>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</si>
  <si>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</si>
  <si>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</si>
  <si>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</si>
  <si>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</si>
  <si>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</si>
  <si>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</si>
  <si>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</si>
  <si>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</si>
  <si>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</si>
  <si>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</si>
  <si>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</si>
  <si>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</si>
  <si>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</si>
  <si>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</si>
  <si>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</si>
  <si>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</si>
  <si>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</si>
  <si>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</si>
  <si>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</si>
  <si>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</si>
  <si>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</si>
  <si>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</si>
  <si>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</si>
  <si>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</si>
  <si>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</si>
  <si>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</si>
  <si>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</si>
  <si>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</si>
  <si>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</si>
  <si>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</si>
  <si>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</si>
  <si>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</si>
  <si>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</si>
  <si>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</si>
  <si>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</si>
  <si>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</si>
  <si>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</si>
  <si>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</si>
  <si>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</si>
  <si>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</si>
  <si>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</si>
  <si>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</si>
  <si>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</si>
  <si>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</si>
  <si>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</si>
  <si>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</si>
  <si>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</si>
  <si>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</si>
  <si>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</si>
  <si>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</si>
  <si>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</si>
  <si>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</si>
  <si>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</si>
  <si>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</si>
  <si>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</si>
  <si>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</si>
  <si>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</si>
  <si>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</si>
  <si>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</si>
  <si>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</si>
  <si>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</si>
  <si>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</si>
  <si>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</si>
  <si>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</si>
  <si>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</si>
  <si>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</si>
  <si>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</si>
  <si>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</si>
  <si>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</si>
  <si>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</si>
  <si>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</si>
  <si>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</si>
  <si>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</si>
  <si>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</si>
  <si>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</si>
  <si>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</si>
  <si>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</si>
  <si>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</si>
  <si>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</si>
  <si>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</si>
  <si>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</si>
  <si>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</si>
  <si>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</si>
  <si>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</si>
  <si>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</si>
  <si>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</si>
  <si>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</si>
  <si>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</si>
  <si>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</si>
  <si>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</si>
  <si>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</si>
  <si>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</si>
  <si>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</si>
  <si>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</si>
  <si>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</si>
  <si>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</si>
  <si>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</si>
  <si>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</si>
  <si>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</si>
  <si>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</si>
  <si>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</si>
  <si>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</si>
  <si>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</si>
  <si>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</si>
  <si>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</si>
  <si>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</si>
  <si>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</si>
  <si>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</si>
  <si>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</si>
  <si>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</si>
  <si>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</si>
  <si>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</si>
  <si>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</si>
  <si>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</si>
  <si>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</si>
  <si>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</si>
  <si>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</si>
  <si>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</si>
  <si>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</si>
  <si>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</si>
  <si>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</si>
  <si>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</si>
  <si>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</si>
  <si>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</si>
  <si>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</si>
  <si>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</si>
  <si>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</si>
  <si>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</si>
  <si>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</si>
  <si>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</si>
  <si>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</si>
  <si>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</si>
  <si>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</si>
  <si>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</si>
  <si>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</si>
  <si>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</si>
  <si>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</si>
  <si>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</si>
  <si>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</si>
  <si>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</si>
  <si>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</si>
  <si>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</si>
  <si>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</si>
  <si>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</si>
  <si>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</si>
  <si>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</si>
  <si>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</si>
  <si>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</si>
  <si>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</si>
  <si>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</si>
  <si>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</si>
  <si>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</si>
  <si>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</si>
  <si>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</si>
  <si>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</si>
  <si>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</si>
  <si>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</si>
  <si>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</si>
  <si>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</si>
  <si>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</si>
  <si>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</si>
  <si>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</si>
  <si>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</si>
  <si>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</si>
  <si>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</si>
  <si>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</si>
  <si>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</si>
  <si>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</si>
  <si>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</si>
  <si>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</si>
  <si>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</si>
  <si>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</si>
  <si>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</si>
  <si>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</si>
  <si>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</si>
  <si>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</si>
  <si>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</si>
  <si>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</si>
  <si>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</si>
  <si>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</si>
  <si>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</si>
  <si>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</si>
  <si>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</si>
  <si>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</si>
  <si>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</si>
  <si>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</si>
  <si>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</si>
  <si>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</si>
  <si>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</si>
  <si>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</si>
  <si>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</si>
  <si>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</si>
  <si>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</si>
  <si>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</si>
  <si>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</si>
  <si>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</si>
  <si>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</si>
  <si>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</si>
  <si>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</si>
  <si>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</si>
  <si>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</si>
  <si>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</si>
  <si>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</si>
  <si>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</si>
  <si>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</si>
  <si>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</si>
  <si>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</si>
  <si>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</si>
  <si>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</si>
  <si>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</si>
  <si>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</si>
  <si>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</si>
  <si>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</si>
  <si>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</si>
  <si>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</si>
  <si>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</si>
  <si>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</si>
  <si>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</si>
  <si>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</si>
  <si>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</si>
  <si>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</si>
  <si>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</si>
  <si>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</si>
  <si>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</si>
  <si>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</si>
  <si>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</si>
  <si>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</si>
  <si>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</si>
  <si>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</si>
  <si>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</si>
  <si>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</si>
  <si>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</si>
  <si>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</si>
  <si>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</si>
  <si>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</si>
  <si>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</si>
  <si>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</si>
  <si>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</si>
  <si>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</si>
  <si>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</si>
  <si>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</si>
  <si>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</si>
  <si>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</si>
  <si>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</si>
  <si>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</si>
  <si>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</si>
  <si>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</si>
  <si>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</si>
  <si>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</si>
  <si>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</si>
  <si>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</si>
  <si>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</si>
  <si>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</si>
  <si>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</si>
  <si>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</si>
  <si>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</si>
  <si>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</si>
  <si>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</si>
  <si>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</si>
  <si>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</si>
  <si>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</si>
  <si>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</si>
  <si>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</si>
  <si>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</si>
  <si>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</si>
  <si>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</si>
  <si>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</si>
  <si>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</si>
  <si>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</si>
  <si>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</si>
  <si>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</si>
  <si>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</si>
  <si>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</si>
  <si>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</si>
  <si>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</si>
  <si>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</si>
  <si>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</si>
  <si>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</si>
  <si>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</si>
  <si>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</si>
  <si>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</si>
  <si>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</si>
  <si>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</si>
  <si>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</si>
  <si>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</si>
  <si>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</si>
  <si>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</si>
  <si>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</si>
  <si>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</si>
  <si>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</si>
  <si>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</si>
  <si>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</si>
  <si>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</si>
  <si>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</si>
  <si>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</si>
  <si>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</si>
  <si>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</si>
  <si>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</si>
  <si>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</si>
  <si>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</si>
  <si>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</si>
  <si>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</si>
  <si>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</si>
  <si>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</si>
  <si>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</si>
  <si>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</si>
  <si>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</si>
  <si>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</si>
  <si>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</si>
  <si>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</si>
  <si>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</si>
  <si>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</si>
  <si>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</si>
  <si>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</si>
  <si>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</si>
  <si>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</si>
  <si>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</si>
  <si>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</si>
  <si>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</si>
  <si>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</si>
  <si>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</si>
  <si>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</si>
  <si>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</si>
  <si>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</si>
  <si>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</si>
  <si>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</si>
  <si>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</si>
  <si>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</si>
  <si>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</si>
  <si>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</si>
  <si>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</si>
  <si>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</si>
  <si>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</si>
  <si>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</si>
  <si>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</si>
  <si>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</si>
  <si>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</si>
  <si>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</si>
  <si>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</si>
  <si>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</si>
  <si>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</si>
  <si>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</si>
  <si>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</si>
  <si>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</si>
  <si>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</si>
  <si>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</si>
  <si>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</si>
  <si>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</si>
  <si>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</si>
  <si>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</si>
  <si>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</si>
  <si>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</si>
  <si>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</si>
  <si>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</si>
  <si>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</si>
  <si>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</si>
  <si>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</si>
  <si>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</si>
  <si>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</si>
  <si>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</si>
  <si>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</si>
  <si>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</si>
  <si>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</si>
  <si>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</si>
  <si>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</si>
  <si>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</si>
  <si>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</si>
  <si>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</si>
  <si>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</si>
  <si>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</si>
  <si>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</si>
  <si>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</si>
  <si>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</si>
  <si>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</si>
  <si>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</si>
  <si>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</si>
  <si>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</si>
  <si>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</si>
  <si>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</si>
  <si>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</si>
  <si>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</si>
  <si>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</si>
  <si>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</si>
  <si>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</si>
  <si>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</si>
  <si>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</si>
  <si>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</si>
  <si>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</si>
  <si>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</si>
  <si>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</si>
  <si>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</si>
  <si>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</si>
  <si>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</si>
  <si>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</si>
  <si>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</si>
  <si>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</si>
  <si>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</si>
  <si>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</si>
  <si>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</si>
  <si>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</si>
  <si>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</si>
  <si>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</si>
  <si>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</si>
  <si>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</si>
  <si>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</si>
  <si>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</si>
  <si>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</si>
  <si>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</si>
  <si>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</si>
  <si>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</si>
  <si>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</si>
  <si>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</si>
  <si>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</si>
  <si>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</si>
  <si>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</si>
  <si>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</si>
  <si>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</si>
  <si>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</si>
  <si>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</si>
  <si>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</si>
  <si>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</si>
  <si>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</si>
  <si>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</si>
  <si>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</si>
  <si>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</si>
  <si>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</si>
  <si>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</si>
  <si>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</si>
  <si>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</si>
  <si>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</si>
  <si>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</si>
  <si>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</si>
  <si>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</si>
  <si>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</si>
  <si>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</si>
  <si>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</si>
  <si>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</si>
  <si>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</si>
  <si>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</si>
  <si>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</si>
  <si>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</si>
  <si>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</si>
  <si>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</si>
  <si>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</si>
  <si>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</si>
  <si>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</si>
  <si>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</si>
  <si>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</si>
  <si>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</si>
  <si>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</si>
  <si>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</si>
  <si>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</si>
  <si>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</si>
  <si>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</si>
  <si>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</si>
  <si>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</si>
  <si>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</si>
  <si>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</si>
  <si>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</si>
  <si>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</si>
  <si>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</si>
  <si>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</si>
  <si>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</si>
  <si>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</si>
  <si>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</si>
  <si>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</si>
  <si>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</si>
  <si>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</si>
  <si>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</si>
  <si>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</si>
  <si>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</si>
  <si>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</si>
  <si>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</si>
  <si>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</si>
  <si>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</si>
  <si>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</si>
  <si>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</si>
  <si>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</si>
  <si>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</si>
  <si>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</si>
  <si>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</si>
  <si>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</si>
  <si>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</si>
  <si>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</si>
  <si>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</si>
  <si>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</si>
  <si>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</si>
  <si>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</si>
  <si>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 Azul</t>
  </si>
  <si>
    <t>2. Negro</t>
  </si>
  <si>
    <t>3. Camuflado tipo selva</t>
  </si>
  <si>
    <t>4. Camuflado ARC</t>
  </si>
  <si>
    <t>5. Camuflado con líneas ondulantes FAC</t>
  </si>
  <si>
    <t>6. Verde EJC</t>
  </si>
  <si>
    <t>7. Verde PONAL</t>
  </si>
  <si>
    <t>8. Camaleón Selva</t>
  </si>
  <si>
    <t>9. Camaleón Desierto</t>
  </si>
  <si>
    <t>10. Otro</t>
  </si>
  <si>
    <t>1. Pavonados</t>
  </si>
  <si>
    <t>2. Galvanizados</t>
  </si>
  <si>
    <t>3. pintura electroestatica negro mate</t>
  </si>
  <si>
    <t>2. pintura electroestatica color naranja</t>
  </si>
  <si>
    <t>3. pintura electroestatica rojo mate</t>
  </si>
  <si>
    <t>El definido en la epecificación técnica del Producto</t>
  </si>
  <si>
    <t>KM 1 VIA, VIA BUGA A LA HABANA UNIDAD BAMOG 10</t>
  </si>
  <si>
    <t>KM 1 VIA, VIA BUGA A LA HABANA UNIDAD BAACA 03</t>
  </si>
  <si>
    <t>ESTAMPILLA PRO UCEVA</t>
  </si>
  <si>
    <t>ESTAMPILLA PRO DESARROLLO</t>
  </si>
  <si>
    <t>&lt;=598</t>
  </si>
  <si>
    <t>&gt;=598</t>
  </si>
  <si>
    <t>REGION 5 y/o 7</t>
  </si>
  <si>
    <t>Para esta cotización se ha activado la REGIÓN 7 debido a que en la región inicial REGION 5 solo habia un proveedor o no habia ninguno asociado al producto solicitado y/o porque el presupuesto supera más de 600 veces el SMMLV</t>
  </si>
  <si>
    <t>min03-P57-R5_CONSORCIO TITAN</t>
  </si>
  <si>
    <t>min03-P57-R7_DISMOTOS PM EU</t>
  </si>
  <si>
    <t>min03-P57-R7_IMDICOL SAS</t>
  </si>
  <si>
    <t>min03-P57-R7_INDUCON SAS</t>
  </si>
  <si>
    <t>min03-P57-R7_BOSTONIA SAS</t>
  </si>
  <si>
    <t>min03-P57-R7_UT SOLUCIONES ANC</t>
  </si>
  <si>
    <t>min03-P57-R7_UT ANFORT 2024</t>
  </si>
  <si>
    <t>min03-P57-R7_UT ALTEX+</t>
  </si>
  <si>
    <t>min03-P57-R7_MANUFACTURAS CAPITEX SAS</t>
  </si>
  <si>
    <t>min03-P57-R7_INDUSTRIAS SALGARI S.A.S</t>
  </si>
  <si>
    <t>min03-P57-R7_CONSORCIO ACUERDO MARCO MTH – II</t>
  </si>
  <si>
    <t>1_min03-P57</t>
  </si>
  <si>
    <t>R5</t>
  </si>
  <si>
    <t>R7</t>
  </si>
  <si>
    <t>INHABILITADO - No es Mipyme y/o proveedor unico exclusivo</t>
  </si>
  <si>
    <t>598</t>
  </si>
  <si>
    <t>"149650"</t>
  </si>
  <si>
    <t>"17003233"</t>
  </si>
  <si>
    <t>"min03---min03-P57-REGION 5 y/o 7-COMPRAVENTA-SI-SOBRECARPA_segÃºn NTMD vigente"</t>
  </si>
  <si>
    <t>Item,598,UND,"149650",COP,"min03---min03-P57-REGION 5 y/o 7-COMPRAVENTA-SI-SOBRECARPA_segÃºn NTMD vigente",</t>
  </si>
  <si>
    <t>Item,1,Und,"17003233",COP,min03--IVA,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</si>
</sst>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0" fillId="14" borderId="22" xfId="0" applyFill="1" applyBorder="1" applyAlignment="1">
      <alignment horizontal="left" vertical="center"/>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0" fillId="14" borderId="22" xfId="0" applyFill="1" applyBorder="1" applyAlignment="1">
      <alignment horizontal="left" vertical="center" indent="4"/>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44" fillId="7" borderId="10" xfId="0" applyFont="1" applyFill="1" applyBorder="1" applyAlignment="1" applyProtection="1">
      <alignment horizontal="center" vertical="center"/>
      <protection locked="0" hidden="1"/>
    </xf>
    <xf numFmtId="3" fontId="44" fillId="7" borderId="10" xfId="0" applyNumberFormat="1" applyFont="1" applyFill="1" applyBorder="1" applyAlignment="1" applyProtection="1">
      <alignment horizontal="center" vertical="center"/>
      <protection locked="0" hidden="1"/>
    </xf>
    <xf numFmtId="49" fontId="1" fillId="7" borderId="10" xfId="4" applyNumberFormat="1" applyFont="1" applyFill="1" applyBorder="1" applyAlignment="1" applyProtection="1">
      <alignment horizontal="center" vertical="center" wrapText="1"/>
      <protection locked="0" hidden="1"/>
    </xf>
    <xf numFmtId="10" fontId="1" fillId="7" borderId="10" xfId="4" applyNumberFormat="1" applyFont="1" applyFill="1" applyBorder="1" applyAlignment="1" applyProtection="1">
      <alignment horizontal="center" wrapText="1"/>
      <protection locked="0"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3" fontId="3" fillId="7" borderId="10" xfId="20" applyNumberFormat="1" applyFont="1" applyFill="1" applyBorder="1" applyAlignment="1" applyProtection="1">
      <alignment horizontal="center" vertical="center" wrapText="1"/>
      <protection locked="0"/>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0" fontId="15" fillId="19" borderId="10" xfId="0" applyFont="1" applyFill="1" applyBorder="1" applyAlignment="1" applyProtection="1">
      <alignment horizontal="center" vertical="center" wrapText="1"/>
      <protection hidden="1"/>
    </xf>
    <xf numFmtId="0" fontId="13" fillId="7" borderId="10" xfId="0" applyFont="1" applyFill="1" applyBorder="1" applyAlignment="1" applyProtection="1">
      <alignment horizontal="center" vertical="center" wrapText="1"/>
      <protection locked="0" hidden="1"/>
    </xf>
    <xf numFmtId="0" fontId="10" fillId="19" borderId="7" xfId="0" applyFont="1" applyFill="1" applyBorder="1" applyProtection="1">
      <protection hidden="1"/>
    </xf>
    <xf numFmtId="0" fontId="10" fillId="19" borderId="9" xfId="0" applyFont="1" applyFill="1" applyBorder="1" applyProtection="1">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10" fillId="19" borderId="45" xfId="0" applyFont="1" applyFill="1" applyBorder="1" applyAlignment="1" applyProtection="1">
      <alignment horizontal="left" vertical="center"/>
      <protection hidden="1"/>
    </xf>
    <xf numFmtId="0" fontId="0" fillId="7" borderId="42" xfId="0" applyFill="1" applyBorder="1" applyAlignment="1">
      <alignment horizontal="left" vertical="center" indent="4"/>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43" fillId="38" borderId="62" xfId="0" applyFont="1" applyFill="1" applyBorder="1" applyAlignment="1" applyProtection="1">
      <alignment horizontal="center" vertical="center"/>
      <protection hidden="1"/>
    </xf>
    <xf numFmtId="0" fontId="26" fillId="20" borderId="10" xfId="0" applyFont="1" applyFill="1" applyBorder="1" applyAlignment="1" applyProtection="1">
      <alignment horizontal="center" vertical="center"/>
      <protection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171" fontId="17" fillId="7" borderId="10"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0" fontId="16" fillId="0" borderId="0" xfId="10" applyFont="1" applyAlignment="1" applyProtection="1">
      <alignment horizontal="right"/>
      <protection hidden="1"/>
    </xf>
    <xf numFmtId="0" fontId="31" fillId="22" borderId="0" xfId="0" applyFont="1" applyFill="1" applyAlignment="1" applyProtection="1">
      <alignment horizontal="center" vertical="center" wrapText="1"/>
      <protection hidden="1"/>
    </xf>
    <xf numFmtId="0" fontId="28" fillId="0" borderId="0" xfId="0" applyFont="1" applyAlignment="1">
      <alignment horizontal="center" vertical="top"/>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7" borderId="22" xfId="0" applyFill="1" applyBorder="1" applyAlignment="1">
      <alignment horizontal="left" vertical="center"/>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174" fontId="13" fillId="0" borderId="10" xfId="18" applyNumberFormat="1" applyFont="1" applyFill="1" applyBorder="1" applyAlignment="1" applyProtection="1">
      <alignment horizontal="center" vertical="center" wrapText="1"/>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3" fillId="3" borderId="66" xfId="0" applyFont="1" applyFill="1" applyBorder="1" applyAlignment="1" applyProtection="1">
      <alignment horizontal="center" vertical="center" wrapText="1"/>
      <protection hidden="1"/>
    </xf>
    <xf numFmtId="0" fontId="44" fillId="3" borderId="66" xfId="0" applyFont="1" applyFill="1" applyBorder="1" applyAlignment="1" applyProtection="1">
      <alignment horizontal="center" vertical="center"/>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0" fontId="48" fillId="10" borderId="63" xfId="0" applyFont="1" applyFill="1" applyBorder="1" applyAlignment="1" applyProtection="1">
      <alignment horizontal="center" vertical="center" wrapText="1"/>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3" fillId="7" borderId="10" xfId="0" applyFont="1" applyFill="1" applyBorder="1" applyAlignment="1" applyProtection="1">
      <alignment horizontal="center" vertical="center" wrapText="1"/>
      <protection locked="0"/>
    </xf>
    <xf numFmtId="10" fontId="13" fillId="7" borderId="10" xfId="19" applyNumberFormat="1" applyFont="1" applyFill="1" applyBorder="1" applyAlignment="1" applyProtection="1">
      <alignment horizontal="center" vertical="center" wrapText="1"/>
      <protection locked="0"/>
    </xf>
    <xf numFmtId="0" fontId="15" fillId="10" borderId="10" xfId="0" applyFont="1" applyFill="1" applyBorder="1" applyAlignment="1" applyProtection="1">
      <alignment horizontal="center" vertical="center" wrapText="1"/>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48" fillId="10" borderId="10" xfId="0" applyFont="1" applyFill="1" applyBorder="1" applyAlignment="1" applyProtection="1">
      <alignment horizontal="center" vertical="center" wrapText="1"/>
      <protection hidden="1"/>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0" borderId="5" xfId="0" applyBorder="1" applyAlignment="1">
      <alignment horizont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36" borderId="10" xfId="20" applyNumberFormat="1" applyFont="1" applyFill="1" applyBorder="1" applyAlignment="1" applyProtection="1">
      <alignment horizontal="center" vertical="center" wrapText="1"/>
    </xf>
    <xf numFmtId="0" fontId="3" fillId="7" borderId="10" xfId="0" applyFont="1" applyFill="1" applyBorder="1" applyAlignment="1" applyProtection="1">
      <alignment horizontal="center" vertical="center" wrapText="1"/>
      <protection locked="0"/>
    </xf>
    <xf numFmtId="0" fontId="3" fillId="24" borderId="10" xfId="0" applyFont="1" applyFill="1" applyBorder="1" applyAlignment="1">
      <alignment horizontal="center" vertical="center" wrapText="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3" xfId="0" applyFont="1" applyFill="1" applyBorder="1" applyAlignment="1">
      <alignment horizontal="center" vertical="center" wrapText="1"/>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52" xfId="0" applyFont="1" applyFill="1" applyBorder="1" applyAlignment="1">
      <alignment horizontal="center" vertical="center" wrapText="1"/>
    </xf>
    <xf numFmtId="0" fontId="15" fillId="9" borderId="14" xfId="0" applyFont="1" applyFill="1" applyBorder="1" applyAlignment="1">
      <alignment horizontal="center" vertical="center"/>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10" fontId="13" fillId="0" borderId="10" xfId="19" applyNumberFormat="1" applyFont="1" applyFill="1" applyBorder="1" applyAlignment="1" applyProtection="1">
      <alignment horizontal="center" vertical="center" wrapText="1"/>
      <protection hidden="1"/>
    </xf>
    <xf numFmtId="0" fontId="19" fillId="0" borderId="0" xfId="0" applyFont="1" applyAlignment="1">
      <alignment horizontal="center" vertical="center"/>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0" fillId="7" borderId="10" xfId="0" applyFill="1" applyBorder="1" applyAlignment="1" applyProtection="1">
      <alignment horizontal="center" vertical="center" wrapText="1"/>
      <protection locked="0"/>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166" fontId="1" fillId="0" borderId="10" xfId="18"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10" fontId="1" fillId="7" borderId="10" xfId="19"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10" fontId="0" fillId="0" borderId="10" xfId="19" applyNumberFormat="1" applyFont="1" applyBorder="1" applyAlignment="1">
      <alignment horizontal="center" vertical="center"/>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0" fillId="0" borderId="10" xfId="18" applyFont="1" applyBorder="1" applyAlignment="1">
      <alignment horizontal="center" vertical="center"/>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0" xfId="0" applyFont="1" applyFill="1" applyBorder="1" applyAlignment="1" applyProtection="1">
      <alignment horizontal="center" vertical="center" wrapText="1"/>
      <protection hidden="1"/>
    </xf>
    <xf numFmtId="0" fontId="14" fillId="9" borderId="10" xfId="0" applyFont="1" applyFill="1" applyBorder="1" applyAlignment="1">
      <alignment horizontal="center" vertical="center" wrapText="1"/>
    </xf>
    <xf numFmtId="175" fontId="13" fillId="7" borderId="10" xfId="20" applyNumberFormat="1" applyFont="1" applyFill="1" applyBorder="1" applyAlignment="1" applyProtection="1">
      <alignment horizontal="center" vertical="center" wrapText="1"/>
      <protection locked="0"/>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2" xfId="0" applyFont="1" applyFill="1" applyBorder="1" applyAlignment="1">
      <alignment horizontal="center" vertical="center"/>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175" fontId="13" fillId="23" borderId="10" xfId="20" applyNumberFormat="1" applyFont="1" applyFill="1" applyBorder="1" applyAlignment="1" applyProtection="1">
      <alignment horizontal="center" vertical="center" wrapText="1"/>
      <protection hidden="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37</xdr:row>
      <xdr:rowOff>45719</xdr:rowOff>
    </xdr:from>
    <xdr:to>
      <xdr:col>17</xdr:col>
      <xdr:colOff>461118</xdr:colOff>
      <xdr:row>39</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5469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67</xdr:row>
      <xdr:rowOff>28575</xdr:rowOff>
    </xdr:from>
    <xdr:to>
      <xdr:col>18</xdr:col>
      <xdr:colOff>78441</xdr:colOff>
      <xdr:row>69</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1671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57</xdr:row>
      <xdr:rowOff>52916</xdr:rowOff>
    </xdr:from>
    <xdr:to>
      <xdr:col>17</xdr:col>
      <xdr:colOff>460060</xdr:colOff>
      <xdr:row>59</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9734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75" t="s">
        <v>177</v>
      </c>
      <c r="C1" s="176"/>
      <c r="D1" s="176"/>
      <c r="E1" s="176"/>
      <c r="F1" s="176"/>
      <c r="G1" s="176"/>
      <c r="H1" s="176"/>
      <c r="I1" s="176"/>
      <c r="J1" s="176"/>
      <c r="K1" s="176"/>
      <c r="L1" s="176"/>
      <c r="M1" s="176"/>
      <c r="N1" s="176"/>
      <c r="O1" s="32" t="s">
        <v>260</v>
      </c>
      <c r="P1" t="s">
        <v>158</v>
      </c>
      <c r="Q1" t="s">
        <v>171</v>
      </c>
      <c r="AA1" t="s">
        <v>192</v>
      </c>
    </row>
    <row r="2" spans="1:27">
      <c r="B2" s="175"/>
      <c r="C2" s="176"/>
      <c r="D2" s="176"/>
      <c r="E2" s="176"/>
      <c r="F2" s="176"/>
      <c r="G2" s="176"/>
      <c r="H2" s="176"/>
      <c r="I2" s="176"/>
      <c r="J2" s="176"/>
      <c r="K2" s="176"/>
      <c r="L2" s="176"/>
      <c r="M2" s="176"/>
      <c r="N2" s="176"/>
      <c r="O2" s="32" t="s">
        <v>102</v>
      </c>
      <c r="P2" t="s">
        <v>275</v>
      </c>
      <c r="Q2" t="s">
        <v>174</v>
      </c>
      <c r="AA2">
        <v>1</v>
      </c>
    </row>
    <row r="3" spans="1:27">
      <c r="A3" s="30" t="s">
        <v>176</v>
      </c>
      <c r="B3" s="177" t="s">
        <v>178</v>
      </c>
      <c r="C3" s="178"/>
      <c r="D3" s="178"/>
      <c r="E3" s="178"/>
      <c r="F3" s="178"/>
      <c r="G3" s="178"/>
      <c r="H3" s="178"/>
      <c r="I3" s="178"/>
      <c r="J3" s="178"/>
      <c r="K3" s="178"/>
      <c r="L3" s="178"/>
      <c r="M3" s="178"/>
      <c r="N3" s="178"/>
    </row>
    <row r="4" spans="1:27">
      <c r="A4" s="31">
        <v>44900</v>
      </c>
      <c r="B4" s="177"/>
      <c r="C4" s="178"/>
      <c r="D4" s="178"/>
      <c r="E4" s="178"/>
      <c r="F4" s="178"/>
      <c r="G4" s="178"/>
      <c r="H4" s="178"/>
      <c r="I4" s="178"/>
      <c r="J4" s="178"/>
      <c r="K4" s="178"/>
      <c r="L4" s="178"/>
      <c r="M4" s="178"/>
      <c r="N4" s="178"/>
    </row>
    <row r="5" spans="1:27">
      <c r="A5" s="180" t="s">
        <v>170</v>
      </c>
    </row>
    <row r="6" spans="1:27">
      <c r="A6" s="180"/>
    </row>
    <row r="7" spans="1:27">
      <c r="A7" s="180"/>
    </row>
    <row r="8" spans="1:27" ht="15">
      <c r="A8" s="179" t="s">
        <v>162</v>
      </c>
      <c r="C8" s="183" t="s">
        <v>179</v>
      </c>
      <c r="D8" s="183"/>
      <c r="E8" s="183"/>
      <c r="F8" s="183"/>
      <c r="G8" s="183"/>
      <c r="H8" s="183"/>
      <c r="I8" s="183"/>
      <c r="J8" s="183"/>
      <c r="K8" s="183"/>
      <c r="L8" s="183"/>
      <c r="M8" s="183"/>
      <c r="N8" s="183"/>
    </row>
    <row r="9" spans="1:27">
      <c r="A9" s="179"/>
      <c r="C9" s="184" t="s">
        <v>261</v>
      </c>
      <c r="D9" s="184"/>
      <c r="E9" s="184"/>
      <c r="F9" s="184"/>
      <c r="G9" s="188" t="s">
        <v>262</v>
      </c>
      <c r="H9" s="189"/>
      <c r="I9" s="189"/>
      <c r="J9" s="190"/>
      <c r="K9" s="185" t="s">
        <v>180</v>
      </c>
      <c r="L9" s="185"/>
      <c r="M9" s="185"/>
      <c r="N9" s="185"/>
    </row>
    <row r="10" spans="1:27">
      <c r="A10" s="181" t="s">
        <v>169</v>
      </c>
      <c r="C10" s="186" t="s">
        <v>256</v>
      </c>
      <c r="D10" s="186"/>
      <c r="E10" s="186"/>
      <c r="F10" s="186"/>
      <c r="G10" s="187" t="s">
        <v>257</v>
      </c>
      <c r="H10" s="187"/>
      <c r="I10" s="187"/>
      <c r="J10" s="187"/>
      <c r="K10" s="187" t="s">
        <v>258</v>
      </c>
      <c r="L10" s="187"/>
      <c r="M10" s="187"/>
      <c r="N10" s="187"/>
    </row>
    <row r="11" spans="1:27">
      <c r="A11" s="181"/>
      <c r="C11" s="186"/>
      <c r="D11" s="186"/>
      <c r="E11" s="186"/>
      <c r="F11" s="186"/>
      <c r="G11" s="187"/>
      <c r="H11" s="187"/>
      <c r="I11" s="187"/>
      <c r="J11" s="187"/>
      <c r="K11" s="187"/>
      <c r="L11" s="187"/>
      <c r="M11" s="187"/>
      <c r="N11" s="187"/>
    </row>
    <row r="12" spans="1:27">
      <c r="A12" s="182" t="s">
        <v>163</v>
      </c>
      <c r="C12" s="186"/>
      <c r="D12" s="186"/>
      <c r="E12" s="186"/>
      <c r="F12" s="186"/>
      <c r="G12" s="187"/>
      <c r="H12" s="187"/>
      <c r="I12" s="187"/>
      <c r="J12" s="187"/>
      <c r="K12" s="187"/>
      <c r="L12" s="187"/>
      <c r="M12" s="187"/>
      <c r="N12" s="187"/>
    </row>
    <row r="13" spans="1:27">
      <c r="A13" s="182"/>
      <c r="C13" s="186"/>
      <c r="D13" s="186"/>
      <c r="E13" s="186"/>
      <c r="F13" s="186"/>
      <c r="G13" s="187"/>
      <c r="H13" s="187"/>
      <c r="I13" s="187"/>
      <c r="J13" s="187"/>
      <c r="K13" s="187"/>
      <c r="L13" s="187"/>
      <c r="M13" s="187"/>
      <c r="N13" s="187"/>
    </row>
    <row r="14" spans="1:27">
      <c r="A14" s="182" t="s">
        <v>259</v>
      </c>
      <c r="C14" s="186"/>
      <c r="D14" s="186"/>
      <c r="E14" s="186"/>
      <c r="F14" s="186"/>
      <c r="G14" s="187"/>
      <c r="H14" s="187"/>
      <c r="I14" s="187"/>
      <c r="J14" s="187"/>
      <c r="K14" s="187"/>
      <c r="L14" s="187"/>
      <c r="M14" s="187"/>
      <c r="N14" s="187"/>
    </row>
    <row r="15" spans="1:27">
      <c r="A15" s="182"/>
      <c r="C15" s="186"/>
      <c r="D15" s="186"/>
      <c r="E15" s="186"/>
      <c r="F15" s="186"/>
      <c r="G15" s="187"/>
      <c r="H15" s="187"/>
      <c r="I15" s="187"/>
      <c r="J15" s="187"/>
      <c r="K15" s="187"/>
      <c r="L15" s="187"/>
      <c r="M15" s="187"/>
      <c r="N15" s="187"/>
    </row>
    <row r="16" spans="1:27">
      <c r="A16" s="182" t="s">
        <v>164</v>
      </c>
      <c r="C16" s="186"/>
      <c r="D16" s="186"/>
      <c r="E16" s="186"/>
      <c r="F16" s="186"/>
      <c r="G16" s="187"/>
      <c r="H16" s="187"/>
      <c r="I16" s="187"/>
      <c r="J16" s="187"/>
      <c r="K16" s="187"/>
      <c r="L16" s="187"/>
      <c r="M16" s="187"/>
      <c r="N16" s="187"/>
    </row>
    <row r="17" spans="1:14">
      <c r="A17" s="182"/>
      <c r="C17" s="186"/>
      <c r="D17" s="186"/>
      <c r="E17" s="186"/>
      <c r="F17" s="186"/>
      <c r="G17" s="187"/>
      <c r="H17" s="187"/>
      <c r="I17" s="187"/>
      <c r="J17" s="187"/>
      <c r="K17" s="187"/>
      <c r="L17" s="187"/>
      <c r="M17" s="187"/>
      <c r="N17" s="187"/>
    </row>
    <row r="18" spans="1:14">
      <c r="A18" s="182" t="s">
        <v>246</v>
      </c>
      <c r="C18" s="184"/>
      <c r="D18" s="184"/>
      <c r="E18" s="184"/>
      <c r="F18" s="184"/>
      <c r="G18" s="185"/>
      <c r="H18" s="185"/>
      <c r="I18" s="185"/>
      <c r="J18" s="185"/>
      <c r="K18" s="185"/>
      <c r="L18" s="185"/>
      <c r="M18" s="185"/>
      <c r="N18" s="185"/>
    </row>
    <row r="19" spans="1:14">
      <c r="A19" s="182"/>
      <c r="C19" s="184"/>
      <c r="D19" s="184"/>
      <c r="E19" s="184"/>
      <c r="F19" s="184"/>
      <c r="G19" s="185"/>
      <c r="H19" s="185"/>
      <c r="I19" s="185"/>
      <c r="J19" s="185"/>
      <c r="K19" s="185"/>
      <c r="L19" s="185"/>
      <c r="M19" s="185"/>
      <c r="N19" s="185"/>
    </row>
    <row r="20" spans="1:14">
      <c r="A20" s="179" t="s">
        <v>165</v>
      </c>
      <c r="C20" s="184"/>
      <c r="D20" s="184"/>
      <c r="E20" s="184"/>
      <c r="F20" s="184"/>
      <c r="G20" s="185"/>
      <c r="H20" s="185"/>
      <c r="I20" s="185"/>
      <c r="J20" s="185"/>
      <c r="K20" s="185"/>
      <c r="L20" s="185"/>
      <c r="M20" s="185"/>
      <c r="N20" s="185"/>
    </row>
    <row r="21" spans="1:14">
      <c r="A21" s="179"/>
      <c r="C21" s="184"/>
      <c r="D21" s="184"/>
      <c r="E21" s="184"/>
      <c r="F21" s="184"/>
      <c r="G21" s="185"/>
      <c r="H21" s="185"/>
      <c r="I21" s="185"/>
      <c r="J21" s="185"/>
      <c r="K21" s="185"/>
      <c r="L21" s="185"/>
      <c r="M21" s="185"/>
      <c r="N21" s="185"/>
    </row>
    <row r="22" spans="1:14">
      <c r="A22" s="182" t="s">
        <v>166</v>
      </c>
    </row>
    <row r="23" spans="1:14">
      <c r="A23" s="182"/>
    </row>
    <row r="24" spans="1:14">
      <c r="A24" s="179" t="s">
        <v>167</v>
      </c>
    </row>
    <row r="25" spans="1:14">
      <c r="A25" s="179"/>
    </row>
    <row r="26" spans="1:14">
      <c r="A26" s="182" t="s">
        <v>168</v>
      </c>
    </row>
    <row r="27" spans="1:14">
      <c r="A27" s="182"/>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fOLqNEfbUwcS8MFaFefc9LiNuTUB+46F1mvbJICF3W4cwT5yNbaNxlOzXHtwazypfmDi6ArdsJXjim7m/knMGQ==" saltValue="YDpS8mSUTfTC79YgN188JA==" spinCount="100000" sheet="1" objects="1" scenarios="1"/>
  <mergeCells count="23">
    <mergeCell ref="A26:A27"/>
    <mergeCell ref="A20:A21"/>
    <mergeCell ref="C8:N8"/>
    <mergeCell ref="C18:F21"/>
    <mergeCell ref="G18:J21"/>
    <mergeCell ref="K18:N21"/>
    <mergeCell ref="C10:F17"/>
    <mergeCell ref="K10:N17"/>
    <mergeCell ref="C9:F9"/>
    <mergeCell ref="K9:N9"/>
    <mergeCell ref="G10:J17"/>
    <mergeCell ref="G9:J9"/>
    <mergeCell ref="B1:N2"/>
    <mergeCell ref="B3:N4"/>
    <mergeCell ref="A8:A9"/>
    <mergeCell ref="A24:A25"/>
    <mergeCell ref="A5:A7"/>
    <mergeCell ref="A10:A11"/>
    <mergeCell ref="A12:A13"/>
    <mergeCell ref="A14:A15"/>
    <mergeCell ref="A16:A17"/>
    <mergeCell ref="A18:A19"/>
    <mergeCell ref="A22:A23"/>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5" r:id="rId4" name="btn_seg3">
          <controlPr defaultSize="0" autoLine="0" r:id="rId5">
            <anchor moveWithCells="1">
              <from>
                <xdr:col>11</xdr:col>
                <xdr:colOff>266700</xdr:colOff>
                <xdr:row>17</xdr:row>
                <xdr:rowOff>114300</xdr:rowOff>
              </from>
              <to>
                <xdr:col>13</xdr:col>
                <xdr:colOff>152400</xdr:colOff>
                <xdr:row>20</xdr:row>
                <xdr:rowOff>47625</xdr:rowOff>
              </to>
            </anchor>
          </controlPr>
        </control>
      </mc:Choice>
      <mc:Fallback>
        <control shapeId="28675" r:id="rId4" name="btn_seg3"/>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3" r:id="rId8" name="btn_CatA">
          <controlPr defaultSize="0" autoLine="0" r:id="rId9">
            <anchor moveWithCells="1">
              <from>
                <xdr:col>3</xdr:col>
                <xdr:colOff>9525</xdr:colOff>
                <xdr:row>17</xdr:row>
                <xdr:rowOff>133350</xdr:rowOff>
              </from>
              <to>
                <xdr:col>4</xdr:col>
                <xdr:colOff>476250</xdr:colOff>
                <xdr:row>19</xdr:row>
                <xdr:rowOff>171450</xdr:rowOff>
              </to>
            </anchor>
          </controlPr>
        </control>
      </mc:Choice>
      <mc:Fallback>
        <control shapeId="28673" r:id="rId8" name="btn_CatA"/>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
      </c>
      <c r="AHM8" s="146" t="str">
        <f>+IF(AHL9&lt;&gt;"","x","")</f>
        <v/>
      </c>
      <c r="AHN8" s="146" t="str">
        <f>+IF(AHL9&lt;&gt;"","x","")</f>
        <v/>
      </c>
      <c r="AHO8" s="146" t="str">
        <f>+IF(AHO9&lt;&gt;"","x","")</f>
        <v/>
      </c>
      <c r="AHP8" s="146" t="str">
        <f>+IF(AHO9&lt;&gt;"","x","")</f>
        <v/>
      </c>
      <c r="AHQ8" s="146" t="str">
        <f>+IF(AHO9&lt;&gt;"","x","")</f>
        <v/>
      </c>
      <c r="AHR8" s="146" t="str">
        <f>+IF(AHR9&lt;&gt;"","x","")</f>
        <v/>
      </c>
      <c r="AHS8" s="146" t="str">
        <f>+IF(AHR9&lt;&gt;"","x","")</f>
        <v/>
      </c>
      <c r="AHT8" s="146" t="str">
        <f>+IF(AHR9&lt;&gt;"","x","")</f>
        <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25" t="s">
        <v>1</v>
      </c>
      <c r="L9" s="425"/>
      <c r="M9" s="425"/>
      <c r="N9" s="425"/>
      <c r="O9" s="431" t="s">
        <v>103</v>
      </c>
      <c r="P9" s="432"/>
      <c r="Q9" s="432"/>
      <c r="R9" s="433"/>
      <c r="S9" s="431" t="s">
        <v>121</v>
      </c>
      <c r="T9" s="432"/>
      <c r="U9" s="432"/>
      <c r="V9" s="433"/>
      <c r="W9" s="425" t="s">
        <v>113</v>
      </c>
      <c r="X9" s="425"/>
      <c r="Y9" s="425"/>
      <c r="Z9" s="425"/>
      <c r="AA9" s="431" t="s">
        <v>93</v>
      </c>
      <c r="AB9" s="432"/>
      <c r="AC9" s="433"/>
      <c r="AD9" s="431" t="s">
        <v>94</v>
      </c>
      <c r="AE9" s="432"/>
      <c r="AF9" s="433"/>
      <c r="AK9" s="23" t="s">
        <v>263</v>
      </c>
      <c r="AL9" s="450" t="s">
        <v>268</v>
      </c>
      <c r="AM9" s="450"/>
      <c r="AN9" s="450"/>
      <c r="AO9" s="450"/>
      <c r="AT9" s="445" t="s">
        <v>112</v>
      </c>
      <c r="AU9" s="446"/>
      <c r="AV9" s="447"/>
      <c r="AW9" s="448"/>
      <c r="AX9" s="448"/>
      <c r="AY9" s="448"/>
      <c r="AZ9" s="448"/>
      <c r="BA9" s="448"/>
      <c r="BB9" s="448"/>
      <c r="BJ9" s="427" t="s">
        <v>266</v>
      </c>
      <c r="BK9" s="428"/>
      <c r="BL9" s="429"/>
      <c r="BM9" s="419" t="s">
        <v>267</v>
      </c>
      <c r="BN9" s="420"/>
      <c r="BO9" s="420"/>
      <c r="BW9" s="427" t="s">
        <v>266</v>
      </c>
      <c r="BX9" s="428"/>
      <c r="BY9" s="429"/>
      <c r="BZ9" s="419" t="s">
        <v>269</v>
      </c>
      <c r="CA9" s="420"/>
      <c r="CB9" s="420"/>
      <c r="CJ9" s="449" t="s">
        <v>134</v>
      </c>
      <c r="CK9" s="449"/>
      <c r="CL9" s="449"/>
      <c r="CM9" s="449"/>
      <c r="CN9" s="449"/>
      <c r="CO9" s="443"/>
      <c r="CP9" s="443"/>
      <c r="CQ9" s="443"/>
      <c r="CR9" s="443"/>
      <c r="CS9" s="443"/>
      <c r="CT9" s="443"/>
      <c r="CU9" s="443"/>
      <c r="DB9" s="421" t="s">
        <v>138</v>
      </c>
      <c r="DC9" s="422"/>
      <c r="DD9" s="423"/>
      <c r="DE9" s="421" t="s">
        <v>136</v>
      </c>
      <c r="DF9" s="422"/>
      <c r="DG9" s="423"/>
      <c r="DH9" s="421" t="s">
        <v>135</v>
      </c>
      <c r="DI9" s="422"/>
      <c r="DJ9" s="423"/>
      <c r="DK9" s="421" t="s">
        <v>137</v>
      </c>
      <c r="DL9" s="422"/>
      <c r="DM9" s="423"/>
      <c r="DS9" s="421" t="s">
        <v>138</v>
      </c>
      <c r="DT9" s="422"/>
      <c r="DU9" s="423"/>
      <c r="DV9" s="421" t="s">
        <v>136</v>
      </c>
      <c r="DW9" s="422"/>
      <c r="DX9" s="423"/>
      <c r="DY9" s="421" t="s">
        <v>135</v>
      </c>
      <c r="DZ9" s="422"/>
      <c r="EA9" s="423"/>
      <c r="EB9" s="421" t="s">
        <v>150</v>
      </c>
      <c r="EC9" s="422"/>
      <c r="ED9" s="423"/>
      <c r="EE9" s="421" t="s">
        <v>155</v>
      </c>
      <c r="EF9" s="422"/>
      <c r="EG9" s="423"/>
      <c r="EJ9" s="419" t="s">
        <v>154</v>
      </c>
      <c r="EK9" s="420"/>
      <c r="EL9" s="420"/>
      <c r="EM9" s="420"/>
      <c r="EN9" s="420"/>
      <c r="EO9" s="420"/>
      <c r="EP9" s="420"/>
      <c r="EQ9" s="420"/>
      <c r="EY9" s="408" t="s">
        <v>145</v>
      </c>
      <c r="EZ9" s="409"/>
      <c r="FA9" s="409"/>
      <c r="FB9" s="409"/>
      <c r="FC9" s="410"/>
      <c r="FD9" s="359"/>
      <c r="FE9" s="359"/>
      <c r="FF9" s="359"/>
      <c r="FG9" s="359"/>
      <c r="FH9" s="359"/>
      <c r="FI9" s="359"/>
      <c r="FJ9" s="359"/>
      <c r="FK9" s="359"/>
      <c r="FS9" s="245" t="s">
        <v>1388</v>
      </c>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52"/>
      <c r="GV9" s="52"/>
      <c r="GW9" s="52"/>
      <c r="GX9" s="52"/>
      <c r="GY9" s="52"/>
      <c r="GZ9" s="245" t="s">
        <v>1389</v>
      </c>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52"/>
      <c r="IC9" s="52"/>
      <c r="ID9" s="52"/>
      <c r="IE9" s="52"/>
      <c r="IF9" s="52"/>
      <c r="IG9" s="245" t="s">
        <v>4063</v>
      </c>
      <c r="IH9" s="245"/>
      <c r="II9" s="245"/>
      <c r="IJ9" s="245"/>
      <c r="IK9" s="245"/>
      <c r="IL9" s="245"/>
      <c r="IM9" s="245"/>
      <c r="IN9" s="245"/>
      <c r="IO9" s="245"/>
      <c r="IP9" s="245"/>
      <c r="IQ9" s="245"/>
      <c r="IR9" s="245"/>
      <c r="IS9" s="245"/>
      <c r="IT9" s="245"/>
      <c r="IU9" s="245"/>
      <c r="IV9" s="245"/>
      <c r="IW9" s="245"/>
      <c r="IX9" s="245"/>
      <c r="IY9" s="245"/>
      <c r="IZ9" s="245"/>
      <c r="JA9" s="245"/>
      <c r="JB9" s="245"/>
      <c r="JC9" s="245"/>
      <c r="JD9" s="245"/>
      <c r="JE9" s="245"/>
      <c r="JF9" s="245"/>
      <c r="JG9" s="245"/>
      <c r="JH9" s="245"/>
      <c r="JK9" s="413" t="s">
        <v>177</v>
      </c>
      <c r="JL9" s="413"/>
      <c r="JM9" s="413"/>
      <c r="JN9" s="413"/>
      <c r="JO9" s="413"/>
      <c r="JP9" s="413"/>
      <c r="JQ9" s="413"/>
      <c r="JR9" s="413"/>
      <c r="JS9" s="413"/>
      <c r="JT9" s="413"/>
      <c r="JU9" s="413"/>
      <c r="JV9" s="413"/>
      <c r="JW9" s="413"/>
      <c r="JX9" s="413"/>
      <c r="JY9" s="413"/>
      <c r="JZ9" s="413"/>
      <c r="KA9" s="413"/>
      <c r="KB9" s="413"/>
      <c r="KC9" s="413"/>
      <c r="KD9" s="413"/>
      <c r="KE9" s="413"/>
      <c r="KF9" s="413"/>
      <c r="KG9" s="413"/>
      <c r="KN9" s="411" t="s">
        <v>251</v>
      </c>
      <c r="KO9" s="411"/>
      <c r="KP9" s="411"/>
      <c r="KQ9" s="411"/>
      <c r="KR9" s="411"/>
      <c r="KS9" s="412" t="s">
        <v>252</v>
      </c>
      <c r="KT9" s="412"/>
      <c r="KU9" s="412"/>
      <c r="KV9" s="412"/>
      <c r="KW9" s="412"/>
      <c r="KX9" s="411" t="s">
        <v>253</v>
      </c>
      <c r="KY9" s="411"/>
      <c r="KZ9" s="411"/>
      <c r="LA9" s="411"/>
      <c r="LB9" s="411"/>
      <c r="LC9" s="35"/>
      <c r="LD9" s="35"/>
      <c r="LE9" s="35"/>
      <c r="LF9" s="35"/>
      <c r="LG9" s="35"/>
      <c r="LH9" s="411" t="s">
        <v>251</v>
      </c>
      <c r="LI9" s="411"/>
      <c r="LJ9" s="412" t="s">
        <v>254</v>
      </c>
      <c r="LK9" s="412"/>
      <c r="LL9" s="35"/>
      <c r="LM9" s="35"/>
      <c r="LN9" s="35"/>
      <c r="LO9" s="35"/>
      <c r="LP9" s="43"/>
      <c r="LQ9" s="411" t="s">
        <v>255</v>
      </c>
      <c r="LR9" s="411"/>
      <c r="LS9" s="411"/>
      <c r="LT9" s="412" t="s">
        <v>253</v>
      </c>
      <c r="LU9" s="412"/>
      <c r="LV9" s="412"/>
      <c r="LZ9" s="403" t="s">
        <v>1316</v>
      </c>
      <c r="MA9" s="404"/>
      <c r="MB9" s="407"/>
      <c r="MC9" s="407"/>
      <c r="MD9" s="407"/>
      <c r="MI9" s="201" t="s">
        <v>3085</v>
      </c>
      <c r="MJ9" s="201"/>
      <c r="MK9" s="201"/>
      <c r="ML9" s="201" t="s">
        <v>1322</v>
      </c>
      <c r="MM9" s="201"/>
      <c r="MN9" s="201"/>
      <c r="MO9" s="201" t="s">
        <v>1447</v>
      </c>
      <c r="MP9" s="201"/>
      <c r="MQ9" s="201"/>
      <c r="MR9" s="377" t="s">
        <v>1323</v>
      </c>
      <c r="MS9" s="378"/>
      <c r="MT9" s="378"/>
      <c r="MU9" s="377" t="s">
        <v>1324</v>
      </c>
      <c r="MV9" s="378"/>
      <c r="MW9" s="378"/>
      <c r="MX9" s="377" t="s">
        <v>1353</v>
      </c>
      <c r="MY9" s="378"/>
      <c r="MZ9" s="378"/>
      <c r="NH9" s="201" t="s">
        <v>1323</v>
      </c>
      <c r="NI9" s="201"/>
      <c r="NJ9" s="201"/>
      <c r="NK9" s="298">
        <f ca="1">+SUM(OFFSET(NH$1,0,3,MATCH("Subtotal",NH:NH,0)-1))</f>
        <v>0</v>
      </c>
      <c r="NL9" s="298"/>
      <c r="NM9" s="298"/>
      <c r="NN9" s="298"/>
      <c r="NV9" s="201" t="s">
        <v>1323</v>
      </c>
      <c r="NW9" s="201"/>
      <c r="NX9" s="201"/>
      <c r="NY9" s="298">
        <f ca="1">+SUM(OFFSET(NV$1,0,3,MATCH("Subtotal",NV:NV,0)-1))</f>
        <v>0</v>
      </c>
      <c r="NZ9" s="298"/>
      <c r="OA9" s="298"/>
      <c r="OB9" s="298"/>
      <c r="OH9" s="136"/>
      <c r="OI9" s="136"/>
      <c r="OJ9" s="136"/>
      <c r="OK9" s="136"/>
      <c r="OL9" s="136"/>
      <c r="OP9" s="347" t="s">
        <v>3924</v>
      </c>
      <c r="OQ9" s="347"/>
      <c r="OR9" s="347"/>
      <c r="OS9" s="347" t="s">
        <v>1449</v>
      </c>
      <c r="OT9" s="347"/>
      <c r="OU9" s="347"/>
      <c r="OV9" s="347" t="s">
        <v>1351</v>
      </c>
      <c r="OW9" s="347"/>
      <c r="OX9" s="347" t="s">
        <v>1648</v>
      </c>
      <c r="OY9" s="347"/>
      <c r="OZ9" s="347"/>
      <c r="PA9" s="347" t="s">
        <v>1352</v>
      </c>
      <c r="PB9" s="347"/>
      <c r="PC9" s="347"/>
      <c r="PD9" s="347" t="s">
        <v>1324</v>
      </c>
      <c r="PE9" s="347"/>
      <c r="PF9" s="347" t="s">
        <v>1450</v>
      </c>
      <c r="PG9" s="347"/>
      <c r="PH9" s="347" t="s">
        <v>1354</v>
      </c>
      <c r="PI9" s="347"/>
      <c r="PJ9" s="347"/>
      <c r="PK9" s="347" t="s">
        <v>1353</v>
      </c>
      <c r="PL9" s="347"/>
      <c r="PM9" s="347"/>
      <c r="PS9" s="136"/>
      <c r="PT9" s="136"/>
      <c r="PU9" s="136"/>
      <c r="PV9" s="136"/>
      <c r="PW9" s="136"/>
      <c r="QA9" s="347" t="s">
        <v>1322</v>
      </c>
      <c r="QB9" s="347"/>
      <c r="QC9" s="347"/>
      <c r="QD9" s="347" t="s">
        <v>1449</v>
      </c>
      <c r="QE9" s="347"/>
      <c r="QF9" s="347"/>
      <c r="QG9" s="347" t="s">
        <v>3926</v>
      </c>
      <c r="QH9" s="347"/>
      <c r="QI9" s="347" t="s">
        <v>3927</v>
      </c>
      <c r="QJ9" s="347"/>
      <c r="QK9" s="347"/>
      <c r="QL9" s="347" t="s">
        <v>1352</v>
      </c>
      <c r="QM9" s="347"/>
      <c r="QN9" s="347"/>
      <c r="QO9" s="347" t="s">
        <v>1324</v>
      </c>
      <c r="QP9" s="347"/>
      <c r="QQ9" s="347" t="s">
        <v>1450</v>
      </c>
      <c r="QR9" s="347"/>
      <c r="QS9" s="347" t="s">
        <v>1354</v>
      </c>
      <c r="QT9" s="347"/>
      <c r="QU9" s="347"/>
      <c r="QV9" s="347" t="s">
        <v>1353</v>
      </c>
      <c r="QW9" s="347"/>
      <c r="QX9" s="347"/>
      <c r="RE9" s="348" t="s">
        <v>145</v>
      </c>
      <c r="RF9" s="349"/>
      <c r="RG9" s="349"/>
      <c r="RH9" s="350"/>
      <c r="RI9" s="350"/>
      <c r="RJ9" s="350"/>
      <c r="RK9" s="350"/>
      <c r="RL9" s="350"/>
      <c r="RM9" s="350"/>
      <c r="RN9" s="350"/>
      <c r="RO9" s="350"/>
      <c r="RP9" s="350"/>
      <c r="RQ9" s="350"/>
      <c r="RR9" s="350"/>
      <c r="RY9" s="452" t="s">
        <v>1359</v>
      </c>
      <c r="RZ9" s="453"/>
      <c r="SA9" s="453"/>
      <c r="SB9" s="298">
        <f ca="1">+SUM($AV$33:INDIRECT("AV"&amp;ROW()-1))</f>
        <v>0</v>
      </c>
      <c r="SC9" s="298"/>
      <c r="SD9" s="298"/>
      <c r="SE9" s="452" t="s">
        <v>1359</v>
      </c>
      <c r="SF9" s="453"/>
      <c r="SG9" s="453"/>
      <c r="SH9" s="453"/>
      <c r="SI9" s="298">
        <f ca="1">+SUM($BC$33:INDIRECT("BC"&amp;ROW()-1))</f>
        <v>0</v>
      </c>
      <c r="SJ9" s="298"/>
      <c r="SK9" s="298"/>
      <c r="SL9" s="298">
        <f ca="1">+SUM($BF$33:INDIRECT("BF"&amp;ROW()-1))</f>
        <v>0</v>
      </c>
      <c r="SM9" s="298"/>
      <c r="SN9" s="298"/>
      <c r="TC9" s="217" t="s">
        <v>170</v>
      </c>
      <c r="TQ9" s="76">
        <f>+IF(TQ8="Ítem",1,ROW()-29)</f>
        <v>-20</v>
      </c>
      <c r="TR9" s="373" t="str">
        <f>IFERROR(INDEX(Cat_Filtro1!$A:$D,MATCH(TT9,Cat_Filtro1!$D:$D,0),3),"")</f>
        <v/>
      </c>
      <c r="TS9" s="373"/>
      <c r="TT9" s="373" t="str">
        <f>+IFERROR(VLOOKUP(UJ8,Listas!$BU:$BV,2,FALSE),"")</f>
        <v/>
      </c>
      <c r="TU9" s="373"/>
      <c r="TV9" s="373"/>
      <c r="TW9" s="373"/>
      <c r="TX9" s="373"/>
      <c r="TY9" s="373"/>
      <c r="TZ9" s="373"/>
      <c r="UA9" s="373" t="s">
        <v>102</v>
      </c>
      <c r="UB9" s="373"/>
      <c r="UC9" s="374" t="s">
        <v>102</v>
      </c>
      <c r="UD9" s="375"/>
      <c r="UE9" s="374" t="s">
        <v>102</v>
      </c>
      <c r="UF9" s="375"/>
      <c r="UG9" s="376"/>
      <c r="UH9" s="374" t="s">
        <v>102</v>
      </c>
      <c r="UI9" s="375"/>
      <c r="UJ9" s="374" t="s">
        <v>102</v>
      </c>
      <c r="UK9" s="375"/>
      <c r="UL9" s="373" t="s">
        <v>102</v>
      </c>
      <c r="UM9" s="373"/>
      <c r="UN9" s="374" t="s">
        <v>102</v>
      </c>
      <c r="UO9" s="375"/>
      <c r="UP9" s="376"/>
      <c r="UQ9" s="197"/>
      <c r="UR9" s="197"/>
      <c r="UT9" s="32" t="s">
        <v>1384</v>
      </c>
      <c r="VK9" s="76">
        <f>+IF(VK8="Ítem",1,ROW()-29)</f>
        <v>-20</v>
      </c>
      <c r="VL9" s="372"/>
      <c r="VM9" s="372"/>
      <c r="VN9" s="373" t="str">
        <f>+IFERROR(VLOOKUP(VL9,Cat_Filtro1!$C:$D,2,FALSE),"")</f>
        <v/>
      </c>
      <c r="VO9" s="373"/>
      <c r="VP9" s="373"/>
      <c r="VQ9" s="373"/>
      <c r="VR9" s="373"/>
      <c r="VS9" s="373"/>
      <c r="VT9" s="373"/>
      <c r="VU9" s="373" t="s">
        <v>102</v>
      </c>
      <c r="VV9" s="373"/>
      <c r="VW9" s="374" t="s">
        <v>102</v>
      </c>
      <c r="VX9" s="375"/>
      <c r="VY9" s="374" t="s">
        <v>102</v>
      </c>
      <c r="VZ9" s="375"/>
      <c r="WA9" s="376"/>
      <c r="WB9" s="374" t="s">
        <v>102</v>
      </c>
      <c r="WC9" s="375"/>
      <c r="WD9" s="374" t="s">
        <v>102</v>
      </c>
      <c r="WE9" s="375"/>
      <c r="WF9" s="373" t="s">
        <v>102</v>
      </c>
      <c r="WG9" s="373"/>
      <c r="WH9" s="374" t="s">
        <v>102</v>
      </c>
      <c r="WI9" s="375"/>
      <c r="WJ9" s="376"/>
      <c r="WK9" s="197"/>
      <c r="WL9" s="197"/>
      <c r="WN9" s="32" t="s">
        <v>1384</v>
      </c>
      <c r="YE9" s="20" t="s">
        <v>263</v>
      </c>
      <c r="YF9" s="400" t="s">
        <v>1266</v>
      </c>
      <c r="YG9" s="400"/>
      <c r="YH9" s="382" t="s">
        <v>1420</v>
      </c>
      <c r="YI9" s="382"/>
      <c r="YJ9" s="382"/>
      <c r="YK9" s="383" t="s">
        <v>115</v>
      </c>
      <c r="YL9" s="384"/>
      <c r="YM9" s="384"/>
      <c r="YN9" s="384"/>
      <c r="YO9" s="384"/>
      <c r="YP9" s="384"/>
      <c r="YQ9" s="385"/>
      <c r="YR9" s="94" t="s">
        <v>104</v>
      </c>
      <c r="YS9" s="383" t="s">
        <v>1411</v>
      </c>
      <c r="YT9" s="385"/>
      <c r="YU9" s="382" t="s">
        <v>1412</v>
      </c>
      <c r="YV9" s="382"/>
      <c r="YW9" s="94" t="s">
        <v>1409</v>
      </c>
      <c r="YX9" s="94" t="s">
        <v>1410</v>
      </c>
      <c r="YY9" s="383" t="s">
        <v>1422</v>
      </c>
      <c r="YZ9" s="384"/>
      <c r="ZA9" s="384"/>
      <c r="ZB9" s="385"/>
      <c r="ZC9" s="386" t="s">
        <v>1421</v>
      </c>
      <c r="ZD9" s="386"/>
      <c r="ZE9" s="387" t="s">
        <v>159</v>
      </c>
      <c r="ZF9" s="387"/>
      <c r="ZL9" s="20" t="s">
        <v>263</v>
      </c>
      <c r="ZM9" s="390" t="s">
        <v>1463</v>
      </c>
      <c r="ZN9" s="391"/>
      <c r="ZO9" s="391"/>
      <c r="ZP9" s="391"/>
      <c r="ZQ9" s="391"/>
      <c r="ZR9" s="391"/>
      <c r="ZS9" s="391"/>
      <c r="ZT9" s="391"/>
      <c r="ZU9" s="391"/>
      <c r="ZV9" s="391"/>
      <c r="ZW9" s="391"/>
      <c r="ZX9" s="392"/>
      <c r="ZY9" s="388" t="s">
        <v>116</v>
      </c>
      <c r="ZZ9" s="389"/>
      <c r="AAA9" s="389"/>
      <c r="AAB9" s="389"/>
      <c r="AAC9" s="389"/>
      <c r="AAD9" s="389"/>
      <c r="AAE9" s="389"/>
      <c r="AAF9" s="389"/>
      <c r="AAG9" s="389"/>
      <c r="AAH9" s="389"/>
      <c r="AAI9" s="389"/>
      <c r="AAJ9" s="389"/>
      <c r="AAK9" s="389"/>
      <c r="AAL9" s="389"/>
      <c r="AAM9" s="458"/>
      <c r="AAS9" s="403" t="s">
        <v>1426</v>
      </c>
      <c r="AAT9" s="404"/>
      <c r="AAU9" s="404"/>
      <c r="AAV9" s="462"/>
      <c r="AAW9" s="463"/>
      <c r="AAX9" s="463"/>
      <c r="AAY9" s="464"/>
      <c r="ABA9" s="403" t="e">
        <f>+IF(SolCotizacion!#REF!="Suite Corporativa","Catálogo","Fabricante")</f>
        <v>#REF!</v>
      </c>
      <c r="ABB9" s="404"/>
      <c r="ABC9" s="468"/>
      <c r="ABD9" s="469"/>
      <c r="ABF9" s="403" t="s">
        <v>243</v>
      </c>
      <c r="ABG9" s="404"/>
      <c r="ABH9" s="468"/>
      <c r="ABI9" s="472"/>
      <c r="ABJ9" s="472"/>
      <c r="ABK9" s="469"/>
      <c r="ACQ9" s="201" t="s">
        <v>1323</v>
      </c>
      <c r="ACR9" s="201"/>
      <c r="ACS9" s="201"/>
      <c r="ACT9" s="298">
        <f>+ResCotizacion!$R$25</f>
        <v>0</v>
      </c>
      <c r="ACU9" s="298"/>
      <c r="ACV9" s="298"/>
      <c r="ACW9" s="298"/>
      <c r="ADC9" s="201" t="s">
        <v>1478</v>
      </c>
      <c r="ADD9" s="201"/>
      <c r="ADE9" s="201"/>
      <c r="ADF9" s="201" t="s">
        <v>1477</v>
      </c>
      <c r="ADG9" s="201"/>
      <c r="ADH9" s="201"/>
      <c r="ADI9" s="201" t="s">
        <v>1324</v>
      </c>
      <c r="ADJ9" s="201"/>
      <c r="ADK9" s="201" t="s">
        <v>1450</v>
      </c>
      <c r="ADL9" s="201"/>
      <c r="ADM9" s="201" t="s">
        <v>1354</v>
      </c>
      <c r="ADN9" s="201"/>
      <c r="ADO9" s="201"/>
      <c r="ADP9" s="201" t="s">
        <v>1353</v>
      </c>
      <c r="ADQ9" s="201"/>
      <c r="ADR9" s="201"/>
      <c r="ADW9" t="s">
        <v>1910</v>
      </c>
      <c r="AEA9" s="128">
        <f>+IF(AEA8="Ítem",1,ROW()-33)</f>
        <v>-24</v>
      </c>
      <c r="AEB9" s="454" t="str">
        <f>IFERROR(INDEX(Cat_Filtro1!$A:$L,MATCH(AED9,Cat_Filtro1!$L:$L,0),4),"")</f>
        <v/>
      </c>
      <c r="AEC9" s="454"/>
      <c r="AED9" s="480" t="s">
        <v>3084</v>
      </c>
      <c r="AEE9" s="481"/>
      <c r="AEF9" s="481"/>
      <c r="AEG9" s="481"/>
      <c r="AEH9" s="481"/>
      <c r="AEI9" s="482"/>
      <c r="AEJ9" s="381" t="str">
        <f>+AEJ8</f>
        <v>x</v>
      </c>
      <c r="AEK9" s="381"/>
      <c r="AEL9" s="381"/>
      <c r="AEM9" s="381" t="str">
        <f>+AEM8</f>
        <v>x</v>
      </c>
      <c r="AEN9" s="381"/>
      <c r="AEO9" s="381"/>
      <c r="AEP9" s="129" t="str">
        <f>+AEP8</f>
        <v>x</v>
      </c>
      <c r="AEQ9" s="129" t="str">
        <f>+AEQ8</f>
        <v>x</v>
      </c>
      <c r="AER9" s="129" t="str">
        <f>+AER8</f>
        <v>x</v>
      </c>
      <c r="AES9" s="381" t="str">
        <f>+AES8</f>
        <v>x</v>
      </c>
      <c r="AET9" s="381"/>
      <c r="AEU9" s="379" t="s">
        <v>102</v>
      </c>
      <c r="AEV9" s="379"/>
      <c r="AEW9" s="380" t="s">
        <v>102</v>
      </c>
      <c r="AEX9" s="380"/>
      <c r="AEY9" s="381" t="s">
        <v>102</v>
      </c>
      <c r="AEZ9" s="381"/>
      <c r="AFA9" s="371">
        <v>1</v>
      </c>
      <c r="AFB9" s="371"/>
      <c r="AFD9" s="32"/>
      <c r="AFI9" t="s">
        <v>3081</v>
      </c>
      <c r="AFM9" s="128">
        <f>ROW()-33</f>
        <v>-24</v>
      </c>
      <c r="AFN9" s="454" t="str">
        <f>IFERROR(INDEX(Cat_Filtro1!$A:$L,MATCH(AFP9,Cat_Filtro1!$L:$L,0),4),"")</f>
        <v/>
      </c>
      <c r="AFO9" s="454"/>
      <c r="AFP9" s="480" t="s">
        <v>3082</v>
      </c>
      <c r="AFQ9" s="481"/>
      <c r="AFR9" s="481"/>
      <c r="AFS9" s="481"/>
      <c r="AFT9" s="481"/>
      <c r="AFU9" s="482"/>
      <c r="AFV9" s="381" t="s">
        <v>102</v>
      </c>
      <c r="AFW9" s="381"/>
      <c r="AFX9" s="381"/>
      <c r="AFY9" s="381" t="s">
        <v>102</v>
      </c>
      <c r="AFZ9" s="381"/>
      <c r="AGA9" s="381"/>
      <c r="AGB9" s="129" t="s">
        <v>102</v>
      </c>
      <c r="AGC9" s="126"/>
      <c r="AGD9" s="132"/>
      <c r="AGE9" s="381" t="s">
        <v>102</v>
      </c>
      <c r="AGF9" s="381"/>
      <c r="AGG9" s="379" t="s">
        <v>102</v>
      </c>
      <c r="AGH9" s="379"/>
      <c r="AGI9" s="380" t="s">
        <v>102</v>
      </c>
      <c r="AGJ9" s="380"/>
      <c r="AGK9" s="381" t="s">
        <v>102</v>
      </c>
      <c r="AGL9" s="381"/>
      <c r="AGM9" s="371">
        <v>1</v>
      </c>
      <c r="AGN9" s="371"/>
      <c r="AGY9" s="20" t="s">
        <v>263</v>
      </c>
      <c r="AGZ9" s="201" t="str">
        <f>+IF(Desplegable_prod!$A$1&lt;&gt;"",Desplegable_prod!$A$1,"")</f>
        <v>Color</v>
      </c>
      <c r="AHA9" s="201"/>
      <c r="AHB9" s="201"/>
      <c r="AHC9" s="201" t="str">
        <f>+IF(Desplegable_prod!$B$1&lt;&gt;"",Desplegable_prod!$B$1,"")</f>
        <v xml:space="preserve">Argollas Triangulares </v>
      </c>
      <c r="AHD9" s="201"/>
      <c r="AHE9" s="201"/>
      <c r="AHF9" s="201" t="str">
        <f>+IF(Desplegable_prod!$C$1&lt;&gt;"",Desplegable_prod!$C$1,"")</f>
        <v>Estacas varilla redonda lisa de hierro HR</v>
      </c>
      <c r="AHG9" s="201"/>
      <c r="AHH9" s="201"/>
      <c r="AHI9" s="201" t="str">
        <f>+IF(Desplegable_prod!$D$1&lt;&gt;"",Desplegable_prod!$D$1,"")</f>
        <v>Color de hilo, cremallera, reata de las chapetas y cordones</v>
      </c>
      <c r="AHJ9" s="201"/>
      <c r="AHK9" s="201"/>
      <c r="AHL9" s="201" t="str">
        <f>+IF(Desplegable_prod!$E$1&lt;&gt;"",Desplegable_prod!$E$1,"")</f>
        <v/>
      </c>
      <c r="AHM9" s="201"/>
      <c r="AHN9" s="201"/>
      <c r="AHO9" s="201" t="str">
        <f>+IF(Desplegable_prod!$F$1&lt;&gt;"",Desplegable_prod!$F$1,"")</f>
        <v/>
      </c>
      <c r="AHP9" s="201"/>
      <c r="AHQ9" s="201"/>
      <c r="AHR9" s="201" t="str">
        <f>+IF(Desplegable_prod!$G$1&lt;&gt;"",Desplegable_prod!$G$1,"")</f>
        <v/>
      </c>
      <c r="AHS9" s="201"/>
      <c r="AHT9" s="201"/>
      <c r="AHU9" s="201" t="str">
        <f>+IF(Desplegable_prod!$H$1&lt;&gt;"",Desplegable_prod!$H$1,"")</f>
        <v/>
      </c>
      <c r="AHV9" s="201"/>
      <c r="AHW9" s="201"/>
      <c r="AHX9" s="201" t="str">
        <f>+IF(Desplegable_prod!$I$1&lt;&gt;"",Desplegable_prod!$I$1,"")</f>
        <v/>
      </c>
      <c r="AHY9" s="201"/>
      <c r="AHZ9" s="201"/>
      <c r="AIA9" s="201" t="str">
        <f>+IF(Desplegable_prod!$J$1&lt;&gt;"",Desplegable_prod!$J$1,"")</f>
        <v/>
      </c>
      <c r="AIB9" s="201"/>
      <c r="AIC9" s="201"/>
      <c r="AIO9" s="195" t="s">
        <v>159</v>
      </c>
      <c r="AIP9" s="196"/>
      <c r="AIQ9" s="196"/>
      <c r="AJH9" s="154" t="s">
        <v>263</v>
      </c>
      <c r="AJI9" s="321" t="s">
        <v>3494</v>
      </c>
      <c r="AJJ9" s="321"/>
      <c r="AJK9" s="321"/>
      <c r="AJL9" s="321" t="s">
        <v>3129</v>
      </c>
      <c r="AJM9" s="321"/>
      <c r="AJN9" s="321"/>
      <c r="AJO9" s="321"/>
      <c r="AJP9" s="321"/>
      <c r="AJQ9" s="321"/>
      <c r="AJR9" s="321"/>
      <c r="AJS9" s="321"/>
      <c r="AJT9" s="321"/>
      <c r="AJU9" s="321"/>
      <c r="AJV9" s="321"/>
      <c r="AJW9" s="321" t="s">
        <v>159</v>
      </c>
      <c r="AJX9" s="321"/>
      <c r="AJY9" s="321"/>
      <c r="AJZ9" s="322" t="s">
        <v>3489</v>
      </c>
      <c r="AKA9" s="322"/>
      <c r="AKB9" s="323"/>
      <c r="AKC9" s="321" t="s">
        <v>3490</v>
      </c>
      <c r="AKD9" s="321"/>
      <c r="AKE9" s="321"/>
      <c r="AKF9" s="321" t="s">
        <v>1352</v>
      </c>
      <c r="AKG9" s="321"/>
      <c r="AKH9" s="321"/>
      <c r="AKI9" s="321"/>
      <c r="AKR9" s="154" t="s">
        <v>263</v>
      </c>
      <c r="AKS9" s="321" t="s">
        <v>3494</v>
      </c>
      <c r="AKT9" s="321"/>
      <c r="AKU9" s="321"/>
      <c r="AKV9" s="474" t="s">
        <v>3129</v>
      </c>
      <c r="AKW9" s="475"/>
      <c r="AKX9" s="475"/>
      <c r="AKY9" s="475"/>
      <c r="AKZ9" s="475"/>
      <c r="ALA9" s="475"/>
      <c r="ALB9" s="475"/>
      <c r="ALC9" s="475"/>
      <c r="ALD9" s="475"/>
      <c r="ALE9" s="475"/>
      <c r="ALF9" s="475"/>
      <c r="ALG9" s="475"/>
      <c r="ALH9" s="475"/>
      <c r="ALI9" s="476"/>
      <c r="ALJ9" s="321" t="s">
        <v>3933</v>
      </c>
      <c r="ALK9" s="321"/>
      <c r="ALL9" s="321"/>
      <c r="ALM9" s="321" t="s">
        <v>3924</v>
      </c>
      <c r="ALN9" s="321"/>
      <c r="ALO9" s="321"/>
      <c r="ALP9" s="321" t="s">
        <v>3932</v>
      </c>
      <c r="ALQ9" s="321"/>
      <c r="ALR9" s="321"/>
      <c r="ALS9" s="321"/>
      <c r="AME9" s="348" t="s">
        <v>3916</v>
      </c>
      <c r="AMF9" s="349"/>
      <c r="AMG9" s="349"/>
      <c r="AMH9" s="354" t="str">
        <f>+IFERROR(VLOOKUP(Cotizacion!$I$32,Cat_Filtro2!$E:$L,8,FALSE),"")</f>
        <v>REGION 7</v>
      </c>
      <c r="AMI9" s="355"/>
      <c r="AMJ9" s="355"/>
      <c r="AMK9" s="356"/>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01" t="s">
        <v>1322</v>
      </c>
      <c r="ANO9" s="201"/>
      <c r="ANP9" s="201"/>
      <c r="ANQ9" s="201" t="s">
        <v>1449</v>
      </c>
      <c r="ANR9" s="201"/>
      <c r="ANS9" s="201"/>
      <c r="ANT9" s="201" t="s">
        <v>3926</v>
      </c>
      <c r="ANU9" s="201"/>
      <c r="ANV9" s="201" t="s">
        <v>3927</v>
      </c>
      <c r="ANW9" s="201"/>
      <c r="ANX9" s="201"/>
      <c r="ANY9" s="201" t="s">
        <v>1352</v>
      </c>
      <c r="ANZ9" s="201"/>
      <c r="AOA9" s="201"/>
      <c r="AOB9" s="201" t="s">
        <v>1324</v>
      </c>
      <c r="AOC9" s="201"/>
      <c r="AOD9" s="201" t="s">
        <v>1450</v>
      </c>
      <c r="AOE9" s="201"/>
      <c r="AOF9" s="201" t="s">
        <v>1354</v>
      </c>
      <c r="AOG9" s="201"/>
      <c r="AOH9" s="201"/>
      <c r="AOI9" s="201" t="s">
        <v>1353</v>
      </c>
      <c r="AOJ9" s="201"/>
      <c r="AOK9" s="201"/>
      <c r="AOL9" s="201" t="s">
        <v>3934</v>
      </c>
      <c r="AOM9" s="201"/>
      <c r="AON9" s="201"/>
      <c r="AOO9" s="201" t="s">
        <v>3935</v>
      </c>
      <c r="AOP9" s="201"/>
      <c r="AOQ9" s="201"/>
      <c r="AOR9" s="201" t="s">
        <v>3941</v>
      </c>
      <c r="AOS9" s="201"/>
      <c r="AOT9" s="201"/>
      <c r="AOU9" s="201"/>
      <c r="AOV9" s="201"/>
      <c r="AOW9" s="201"/>
      <c r="AOX9" s="22" t="s">
        <v>3940</v>
      </c>
    </row>
    <row r="10" spans="1:1090" s="17" customFormat="1" ht="30" customHeight="1">
      <c r="J10" s="19">
        <f>+IF(J9="Ítem",1,J9+1)</f>
        <v>1</v>
      </c>
      <c r="K10" s="359"/>
      <c r="L10" s="359"/>
      <c r="M10" s="359"/>
      <c r="N10" s="359"/>
      <c r="O10" s="434"/>
      <c r="P10" s="435"/>
      <c r="Q10" s="435"/>
      <c r="R10" s="436"/>
      <c r="S10" s="437" t="str">
        <f>+IF(Segmento!$O$2="CatA",IFERROR(VLOOKUP(O10,#REF!,2,FALSE),""),IFERROR(VLOOKUP(O10,#REF!,2,FALSE),""))</f>
        <v/>
      </c>
      <c r="T10" s="438"/>
      <c r="U10" s="438"/>
      <c r="V10" s="439"/>
      <c r="W10" s="426" t="str">
        <f>IF(Segmento!$O$2="CatA",IFERROR(VLOOKUP(O10,#REF!,3,FALSE),""),IFERROR(VLOOKUP(O10,#REF!,3,FALSE),""))</f>
        <v/>
      </c>
      <c r="X10" s="426"/>
      <c r="Y10" s="426"/>
      <c r="Z10" s="426"/>
      <c r="AA10" s="440" t="str">
        <f>IF(Segmento!$O$2="CatA",IFERROR(VLOOKUP(O10,#REF!,6,FALSE),""),IFERROR(VLOOKUP(O10,#REF!,6,FALSE),""))</f>
        <v/>
      </c>
      <c r="AB10" s="441"/>
      <c r="AC10" s="442"/>
      <c r="AD10" s="440" t="str">
        <f>IF(Segmento!$O$2="CatA",IFERROR(VLOOKUP(O10,#REF!,7,FALSE),""),IFERROR(VLOOKUP(O10,#REF!,7,FALSE),""))</f>
        <v/>
      </c>
      <c r="AE10" s="441"/>
      <c r="AF10" s="442"/>
      <c r="AK10" s="19">
        <f>+IF(AK9="Ítem",1,AK9+1)</f>
        <v>1</v>
      </c>
      <c r="AL10" s="430"/>
      <c r="AM10" s="430"/>
      <c r="AN10" s="430"/>
      <c r="AO10" s="430"/>
      <c r="BJ10" s="430"/>
      <c r="BK10" s="430"/>
      <c r="BL10" s="430"/>
      <c r="BM10" s="430"/>
      <c r="BN10" s="430"/>
      <c r="BO10" s="430"/>
      <c r="BW10" s="430"/>
      <c r="BX10" s="430"/>
      <c r="BY10" s="430"/>
      <c r="BZ10" s="444"/>
      <c r="CA10" s="444"/>
      <c r="CB10" s="444"/>
      <c r="DB10" s="414"/>
      <c r="DC10" s="415"/>
      <c r="DD10" s="416"/>
      <c r="DE10" s="417"/>
      <c r="DF10" s="417"/>
      <c r="DG10" s="417"/>
      <c r="DH10" s="417"/>
      <c r="DI10" s="417"/>
      <c r="DJ10" s="417"/>
      <c r="DK10" s="417"/>
      <c r="DL10" s="417"/>
      <c r="DM10" s="417"/>
      <c r="DS10" s="414"/>
      <c r="DT10" s="415"/>
      <c r="DU10" s="416"/>
      <c r="DV10" s="417"/>
      <c r="DW10" s="417"/>
      <c r="DX10" s="417"/>
      <c r="DY10" s="417"/>
      <c r="DZ10" s="417"/>
      <c r="EA10" s="417"/>
      <c r="EB10" s="418"/>
      <c r="EC10" s="418"/>
      <c r="ED10" s="418"/>
      <c r="EE10" s="424"/>
      <c r="EF10" s="424"/>
      <c r="EG10" s="424"/>
      <c r="EJ10" s="417"/>
      <c r="EK10" s="417"/>
      <c r="EL10" s="417"/>
      <c r="EM10" s="417"/>
      <c r="EN10" s="417"/>
      <c r="EO10" s="417"/>
      <c r="EP10" s="417"/>
      <c r="EQ10" s="417"/>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52"/>
      <c r="GV10" s="52"/>
      <c r="GW10" s="52"/>
      <c r="GX10" s="52"/>
      <c r="GY10" s="52"/>
      <c r="GZ10" s="245"/>
      <c r="HA10" s="245"/>
      <c r="HB10" s="245"/>
      <c r="HC10" s="245"/>
      <c r="HD10" s="245"/>
      <c r="HE10" s="245"/>
      <c r="HF10" s="245"/>
      <c r="HG10" s="245"/>
      <c r="HH10" s="245"/>
      <c r="HI10" s="245"/>
      <c r="HJ10" s="245"/>
      <c r="HK10" s="245"/>
      <c r="HL10" s="245"/>
      <c r="HM10" s="245"/>
      <c r="HN10" s="245"/>
      <c r="HO10" s="245"/>
      <c r="HP10" s="245"/>
      <c r="HQ10" s="245"/>
      <c r="HR10" s="245"/>
      <c r="HS10" s="245"/>
      <c r="HT10" s="245"/>
      <c r="HU10" s="245"/>
      <c r="HV10" s="245"/>
      <c r="HW10" s="245"/>
      <c r="HX10" s="245"/>
      <c r="HY10" s="245"/>
      <c r="HZ10" s="245"/>
      <c r="IA10" s="245"/>
      <c r="IB10" s="52"/>
      <c r="IC10" s="52"/>
      <c r="ID10" s="52"/>
      <c r="IE10" s="52"/>
      <c r="IF10" s="52"/>
      <c r="IG10" s="245"/>
      <c r="IH10" s="245"/>
      <c r="II10" s="245"/>
      <c r="IJ10" s="245"/>
      <c r="IK10" s="245"/>
      <c r="IL10" s="245"/>
      <c r="IM10" s="245"/>
      <c r="IN10" s="245"/>
      <c r="IO10" s="245"/>
      <c r="IP10" s="245"/>
      <c r="IQ10" s="245"/>
      <c r="IR10" s="245"/>
      <c r="IS10" s="245"/>
      <c r="IT10" s="245"/>
      <c r="IU10" s="245"/>
      <c r="IV10" s="245"/>
      <c r="IW10" s="245"/>
      <c r="IX10" s="245"/>
      <c r="IY10" s="245"/>
      <c r="IZ10" s="245"/>
      <c r="JA10" s="245"/>
      <c r="JB10" s="245"/>
      <c r="JC10" s="245"/>
      <c r="JD10" s="245"/>
      <c r="JE10" s="245"/>
      <c r="JF10" s="245"/>
      <c r="JG10" s="245"/>
      <c r="JH10" s="245"/>
      <c r="JK10" s="413"/>
      <c r="JL10" s="413"/>
      <c r="JM10" s="413"/>
      <c r="JN10" s="413"/>
      <c r="JO10" s="413"/>
      <c r="JP10" s="413"/>
      <c r="JQ10" s="413"/>
      <c r="JR10" s="413"/>
      <c r="JS10" s="413"/>
      <c r="JT10" s="413"/>
      <c r="JU10" s="413"/>
      <c r="JV10" s="413"/>
      <c r="JW10" s="413"/>
      <c r="JX10" s="413"/>
      <c r="JY10" s="413"/>
      <c r="JZ10" s="413"/>
      <c r="KA10" s="413"/>
      <c r="KB10" s="413"/>
      <c r="KC10" s="413"/>
      <c r="KD10" s="413"/>
      <c r="KE10" s="413"/>
      <c r="KF10" s="413"/>
      <c r="KG10" s="413"/>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405"/>
      <c r="MA10" s="406"/>
      <c r="MB10" s="407"/>
      <c r="MC10" s="407"/>
      <c r="MD10" s="407"/>
      <c r="MI10" s="401" t="str">
        <f>+IFERROR(IF(OR(LJ10="Porcentaje máximo de aumento para tallas no comerciales",LEFT(LJ10,24)="Servicio de distribución"),
             VLOOKUP(Var!$F$13&amp;"_"&amp;LH10,Cat_Filtro2!$C:$G,5,FALSE),
             "N/A"),
           "")</f>
        <v>N/A</v>
      </c>
      <c r="MJ10" s="401"/>
      <c r="MK10" s="401"/>
      <c r="ML10" s="298" t="str">
        <f>+IFERROR(ROUND(VLOOKUP(LG10&amp;"_"&amp;LH10,Cat_resumido!$C:$DE,Var!$F$2+2,FALSE)/MG10,0),"")</f>
        <v/>
      </c>
      <c r="MM10" s="298"/>
      <c r="MN10" s="298"/>
      <c r="MO10" s="298" t="str">
        <f ca="1">+IFERROR(ROUND(ML10/(1-Var!$F$3),0),"")</f>
        <v/>
      </c>
      <c r="MP10" s="298"/>
      <c r="MQ10" s="298"/>
      <c r="MR10" s="299" t="str">
        <f ca="1">IFERROR(ROUND(MO10*MG10,2),"")</f>
        <v/>
      </c>
      <c r="MS10" s="300"/>
      <c r="MT10" s="301"/>
      <c r="MU10" s="299" t="str">
        <f ca="1">IFERROR(ROUND(MR10*LX10,2),"")</f>
        <v/>
      </c>
      <c r="MV10" s="300"/>
      <c r="MW10" s="301"/>
      <c r="MX10" s="299" t="str">
        <f ca="1">IFERROR(ROUND(MR10+MU10,2),"")</f>
        <v/>
      </c>
      <c r="MY10" s="300"/>
      <c r="MZ10" s="301"/>
      <c r="NH10" s="201" t="s">
        <v>1324</v>
      </c>
      <c r="NI10" s="201"/>
      <c r="NJ10" s="201"/>
      <c r="NK10" s="297">
        <f ca="1">+ROUND(NK9*0.19,2)</f>
        <v>0</v>
      </c>
      <c r="NL10" s="297"/>
      <c r="NM10" s="297"/>
      <c r="NN10" s="297"/>
      <c r="NV10" s="201" t="s">
        <v>1324</v>
      </c>
      <c r="NW10" s="201"/>
      <c r="NX10" s="201"/>
      <c r="NY10" s="297">
        <f ca="1">+ROUND(NY9*0.19,2)</f>
        <v>0</v>
      </c>
      <c r="NZ10" s="297"/>
      <c r="OA10" s="297"/>
      <c r="OB10" s="297"/>
      <c r="OC10"/>
      <c r="OD10"/>
      <c r="OE10"/>
      <c r="OF10"/>
      <c r="OG10"/>
      <c r="OH10"/>
      <c r="OI10"/>
      <c r="OJ10"/>
      <c r="OK10"/>
      <c r="OL10"/>
      <c r="OM10"/>
      <c r="OP10" s="299" t="str">
        <f ca="1">+IFERROR(ROUND(VLOOKUP(NX10&amp;"_"&amp;NY10,Cat_resumido!$C:$CZ,Var!$F$6-2,FALSE)/OM10,2),"")</f>
        <v/>
      </c>
      <c r="OQ10" s="300"/>
      <c r="OR10" s="301"/>
      <c r="OS10" s="298" t="str">
        <f ca="1">+IFERROR(ROUND(OP10/(1-Var!$F$3),2),"")</f>
        <v/>
      </c>
      <c r="OT10" s="298"/>
      <c r="OU10" s="298"/>
      <c r="OV10" s="346"/>
      <c r="OW10" s="346"/>
      <c r="OX10" s="298" t="str">
        <f ca="1">IFERROR(ROUND(OS10*(1-OV10),2),"")</f>
        <v/>
      </c>
      <c r="OY10" s="298"/>
      <c r="OZ10" s="298"/>
      <c r="PA10" s="298" t="str">
        <f ca="1">IFERROR(ROUND(OX10*OM10,2),"")</f>
        <v/>
      </c>
      <c r="PB10" s="298"/>
      <c r="PC10" s="298"/>
      <c r="PD10" s="345"/>
      <c r="PE10" s="345"/>
      <c r="PF10" s="346"/>
      <c r="PG10" s="346"/>
      <c r="PH10" s="298">
        <f>+IFERROR(IF(PD10="SI",ROUND(PA10*PF10,2),0),"")</f>
        <v>0</v>
      </c>
      <c r="PI10" s="298"/>
      <c r="PJ10" s="298"/>
      <c r="PK10" s="298" t="str">
        <f ca="1">+IFERROR(ROUND(PA10+PH10,2),"")</f>
        <v/>
      </c>
      <c r="PL10" s="298"/>
      <c r="PM10" s="298"/>
      <c r="PN10"/>
      <c r="PO10"/>
      <c r="PP10"/>
      <c r="PQ10"/>
      <c r="PR10"/>
      <c r="PS10"/>
      <c r="PT10"/>
      <c r="PU10"/>
      <c r="PV10"/>
      <c r="PW10"/>
      <c r="PX10"/>
      <c r="QA10" s="298" t="str">
        <f>+IFERROR(ROUND(VLOOKUP(PI10&amp;"_"&amp;PJ10,Cat_resumido!$C:$CZ,Var!$F$6-2,FALSE)/1,2),"")</f>
        <v/>
      </c>
      <c r="QB10" s="298"/>
      <c r="QC10" s="298"/>
      <c r="QD10" s="298" t="str">
        <f ca="1">+IFERROR(ROUND(QA10/(1-Var!$F$3),2),"")</f>
        <v/>
      </c>
      <c r="QE10" s="298"/>
      <c r="QF10" s="298"/>
      <c r="QG10" s="451">
        <f ca="1">+IFERROR(ROUND(Cotizacion!$AE$22/QD10,0),0)</f>
        <v>0</v>
      </c>
      <c r="QH10" s="451"/>
      <c r="QI10" s="298" t="str">
        <f ca="1">IFERROR(ROUND((Cotizacion!$AE$22-QS10)/QG10,2),"")</f>
        <v/>
      </c>
      <c r="QJ10" s="298"/>
      <c r="QK10" s="298"/>
      <c r="QL10" s="298" t="str">
        <f ca="1">IFERROR(ROUND(QI10*QG10,2),"")</f>
        <v/>
      </c>
      <c r="QM10" s="298"/>
      <c r="QN10" s="298"/>
      <c r="QO10" s="345"/>
      <c r="QP10" s="345"/>
      <c r="QQ10" s="346"/>
      <c r="QR10" s="346"/>
      <c r="QS10" s="298">
        <f>+IFERROR(IF(QO10="SI",ROUND(Cotizacion!$AE$22-(Cotizacion!$AE$22/(1+QQ10)),2),0),"")</f>
        <v>0</v>
      </c>
      <c r="QT10" s="298"/>
      <c r="QU10" s="298"/>
      <c r="QV10" s="298" t="str">
        <f ca="1">IFERROR(QL10+QS10,"")</f>
        <v/>
      </c>
      <c r="QW10" s="298"/>
      <c r="QX10" s="298"/>
      <c r="QY10"/>
      <c r="QZ10"/>
      <c r="RA10"/>
      <c r="TC10" s="218"/>
      <c r="YE10" s="75">
        <f>IFERROR(IF(YE9="Ítem",1,ROW()-ROW(SolCotizacion!#REF!)),ROW()-ROW(SolCotizacion!#REF!))</f>
        <v>1</v>
      </c>
      <c r="YF10" s="372"/>
      <c r="YG10" s="372"/>
      <c r="YH10" s="368" t="str">
        <f>+IFERROR(VLOOKUP($G10,Cat_Filtro1!$D:$U,MATCH(SolCotizacion!#REF!,Cat_Filtro1!$1:$1,0)-3,FALSE),"")</f>
        <v/>
      </c>
      <c r="YI10" s="369"/>
      <c r="YJ10" s="370"/>
      <c r="YK10" s="368" t="str">
        <f>+IFERROR(VLOOKUP($G10,Cat_Filtro1!$D:$U,MATCH(SolCotizacion!#REF!,Cat_Filtro1!$1:$1,0)-3,FALSE),"")</f>
        <v/>
      </c>
      <c r="YL10" s="369"/>
      <c r="YM10" s="369"/>
      <c r="YN10" s="369"/>
      <c r="YO10" s="369"/>
      <c r="YP10" s="369"/>
      <c r="YQ10" s="370"/>
      <c r="YR10" s="95" t="str">
        <f>+IFERROR(VLOOKUP($G10,Cat_Filtro1!$D:$U,MATCH(SolCotizacion!#REF!,Cat_Filtro1!$1:$1,0)-3,FALSE),"")</f>
        <v/>
      </c>
      <c r="YS10" s="368" t="str">
        <f>+IFERROR(VLOOKUP($G10,Cat_Filtro1!$D:$U,MATCH(SolCotizacion!#REF!,Cat_Filtro1!$1:$1,0)-3,FALSE),"")</f>
        <v/>
      </c>
      <c r="YT10" s="370"/>
      <c r="YU10" s="368" t="str">
        <f>+IFERROR(VLOOKUP($G10,Cat_Filtro1!$D:$U,MATCH(SolCotizacion!#REF!,Cat_Filtro1!$1:$1,0)-3,FALSE),"")</f>
        <v/>
      </c>
      <c r="YV10" s="370"/>
      <c r="YW10" s="95" t="str">
        <f>+IFERROR(VLOOKUP($G10,Cat_Filtro1!$D:$U,MATCH(SolCotizacion!#REF!,Cat_Filtro1!$1:$1,0)-3,FALSE),"")</f>
        <v/>
      </c>
      <c r="YX10" s="95" t="str">
        <f>+IFERROR(VLOOKUP($G10,Cat_Filtro1!$D:$U,MATCH(SolCotizacion!#REF!,Cat_Filtro1!$1:$1,0)-3,FALSE),"")</f>
        <v/>
      </c>
      <c r="YY10" s="368" t="str">
        <f>+IFERROR(VLOOKUP($G10,Cat_Filtro1!$D:$U,MATCH(SolCotizacion!#REF!,Cat_Filtro1!$1:$1,0)-3,FALSE),"")</f>
        <v/>
      </c>
      <c r="YZ10" s="369"/>
      <c r="ZA10" s="369"/>
      <c r="ZB10" s="370"/>
      <c r="ZC10" s="368" t="str">
        <f>+IFERROR(VLOOKUP($G10,Cat_Filtro1!$D:$U,MATCH(SolCotizacion!#REF!,Cat_Filtro1!$1:$1,0)-3,FALSE),"")</f>
        <v/>
      </c>
      <c r="ZD10" s="370"/>
      <c r="ZE10" s="197"/>
      <c r="ZF10" s="197"/>
      <c r="ZL10" s="75">
        <f>IFERROR(IF(ZL9="Ítem",1,ROW()-ROW(SolCotizacion!#REF!)),ROW()-ROW(SolCotizacion!#REF!))</f>
        <v>1</v>
      </c>
      <c r="ZM10" s="455" t="s">
        <v>1464</v>
      </c>
      <c r="ZN10" s="456"/>
      <c r="ZO10" s="456"/>
      <c r="ZP10" s="456"/>
      <c r="ZQ10" s="456"/>
      <c r="ZR10" s="456"/>
      <c r="ZS10" s="456"/>
      <c r="ZT10" s="456"/>
      <c r="ZU10" s="456"/>
      <c r="ZV10" s="456"/>
      <c r="ZW10" s="456"/>
      <c r="ZX10" s="457"/>
      <c r="ZY10" s="455"/>
      <c r="ZZ10" s="456"/>
      <c r="AAA10" s="456"/>
      <c r="AAB10" s="456"/>
      <c r="AAC10" s="456"/>
      <c r="AAD10" s="456"/>
      <c r="AAE10" s="456"/>
      <c r="AAF10" s="456"/>
      <c r="AAG10" s="456"/>
      <c r="AAH10" s="456"/>
      <c r="AAI10" s="456"/>
      <c r="AAJ10" s="456"/>
      <c r="AAK10" s="456"/>
      <c r="AAL10" s="456"/>
      <c r="AAM10" s="457"/>
      <c r="AAS10" s="405"/>
      <c r="AAT10" s="406"/>
      <c r="AAU10" s="406"/>
      <c r="AAV10" s="465"/>
      <c r="AAW10" s="466"/>
      <c r="AAX10" s="466"/>
      <c r="AAY10" s="467"/>
      <c r="AAZ10"/>
      <c r="ABA10" s="405"/>
      <c r="ABB10" s="406"/>
      <c r="ABC10" s="470"/>
      <c r="ABD10" s="471"/>
      <c r="ABE10"/>
      <c r="ABF10" s="405"/>
      <c r="ABG10" s="406"/>
      <c r="ABH10" s="470"/>
      <c r="ABI10" s="473"/>
      <c r="ABJ10" s="473"/>
      <c r="ABK10" s="471"/>
      <c r="ABR10"/>
      <c r="ABS10"/>
      <c r="ABT10"/>
      <c r="ABU10"/>
      <c r="ABV10"/>
      <c r="ABW10"/>
      <c r="ABX10"/>
      <c r="ABY10"/>
      <c r="ABZ10"/>
      <c r="ACA10"/>
      <c r="ACB10"/>
      <c r="ACC10"/>
      <c r="ACD10"/>
      <c r="ACE10"/>
      <c r="ACF10"/>
      <c r="ACG10"/>
      <c r="ACH10"/>
      <c r="ACI10"/>
      <c r="ACJ10"/>
      <c r="ACQ10" s="201" t="s">
        <v>1324</v>
      </c>
      <c r="ACR10" s="201"/>
      <c r="ACS10" s="201"/>
      <c r="ACT10" s="297">
        <f>+ROUND(ACT9*0.19,0)</f>
        <v>0</v>
      </c>
      <c r="ACU10" s="297"/>
      <c r="ACV10" s="297"/>
      <c r="ACW10" s="297"/>
      <c r="ADC10" s="397"/>
      <c r="ADD10" s="398"/>
      <c r="ADE10" s="399"/>
      <c r="ADF10" s="298">
        <f ca="1">+IFERROR(ROUND(ADC10/(1-Var!$F$3),2),"")</f>
        <v>0</v>
      </c>
      <c r="ADG10" s="298"/>
      <c r="ADH10" s="298"/>
      <c r="ADI10" s="345"/>
      <c r="ADJ10" s="345"/>
      <c r="ADK10" s="346"/>
      <c r="ADL10" s="346"/>
      <c r="ADM10" s="298">
        <f>+IFERROR(IF(ADI10="SI",ROUND(ADK10*ADF10,0),0),"")</f>
        <v>0</v>
      </c>
      <c r="ADN10" s="298"/>
      <c r="ADO10" s="298"/>
      <c r="ADP10" s="298">
        <f ca="1">+IFERROR(ADM10+ADF10,"")</f>
        <v>0</v>
      </c>
      <c r="ADQ10" s="298"/>
      <c r="ADR10" s="298"/>
      <c r="AGY10" s="75">
        <f>IFERROR(IF(AGY9="Ítem",1,ROW()-ROW(SolCotizacion!$F$28)-5),"error")</f>
        <v>1</v>
      </c>
      <c r="AGZ10" s="202"/>
      <c r="AHA10" s="202"/>
      <c r="AHB10" s="202"/>
      <c r="AHC10" s="202"/>
      <c r="AHD10" s="202"/>
      <c r="AHE10" s="202"/>
      <c r="AHF10" s="202"/>
      <c r="AHG10" s="202"/>
      <c r="AHH10" s="202"/>
      <c r="AHI10" s="202"/>
      <c r="AHJ10" s="202"/>
      <c r="AHK10" s="202"/>
      <c r="AHL10" s="202"/>
      <c r="AHM10" s="202"/>
      <c r="AHN10" s="202"/>
      <c r="AHO10" s="202"/>
      <c r="AHP10" s="202"/>
      <c r="AHQ10" s="202"/>
      <c r="AHR10" s="202"/>
      <c r="AHS10" s="202"/>
      <c r="AHT10" s="202"/>
      <c r="AHU10" s="202"/>
      <c r="AHV10" s="202"/>
      <c r="AHW10" s="202"/>
      <c r="AHX10" s="202"/>
      <c r="AHY10" s="202"/>
      <c r="AHZ10" s="202"/>
      <c r="AIA10" s="202"/>
      <c r="AIB10" s="202"/>
      <c r="AIC10" s="202"/>
      <c r="AIO10" s="197"/>
      <c r="AIP10" s="197"/>
      <c r="AIQ10" s="197"/>
      <c r="AJH10" s="155">
        <f>IFERROR(IF(AJH9="Ítem",1,ROW()-ROW(SolCotizacion!#REF!)),ROW()-ROW(SolCotizacion!#REF!))</f>
        <v>1</v>
      </c>
      <c r="AJI10" s="319" t="str">
        <f>+SolCotizacion!$I$28</f>
        <v>min03-P57</v>
      </c>
      <c r="AJJ10" s="319"/>
      <c r="AJK10" s="319"/>
      <c r="AJL10" s="324" t="str">
        <f>+SolCotizacion!$L$28</f>
        <v>SOBRECARPA_según NTMD vigente</v>
      </c>
      <c r="AJM10" s="324"/>
      <c r="AJN10" s="324"/>
      <c r="AJO10" s="324"/>
      <c r="AJP10" s="324"/>
      <c r="AJQ10" s="324"/>
      <c r="AJR10" s="324"/>
      <c r="AJS10" s="324"/>
      <c r="AJT10" s="324"/>
      <c r="AJU10" s="324"/>
      <c r="AJV10" s="324"/>
      <c r="AJW10" s="325">
        <v>598</v>
      </c>
      <c r="AJX10" s="325"/>
      <c r="AJY10" s="325"/>
      <c r="AJZ10" s="298">
        <f>+IFERROR(ROUND(VLOOKUP(AJH10&amp;"_"&amp;AJI10,Cat_resumido!$C:$DE,Var!$F$2-2,FALSE)/AJW10,2),"")</f>
        <v>148153.5</v>
      </c>
      <c r="AKA10" s="298"/>
      <c r="AKB10" s="298"/>
      <c r="AKC10" s="298">
        <f ca="1">+IFERROR(ROUND(AJZ10/(1-Var!$F$3),0),"")</f>
        <v>149650</v>
      </c>
      <c r="AKD10" s="298"/>
      <c r="AKE10" s="298"/>
      <c r="AKF10" s="299">
        <f ca="1">IFERROR(ROUND(AJW10*AKC10,2),"")</f>
        <v>89490700</v>
      </c>
      <c r="AKG10" s="300"/>
      <c r="AKH10" s="300"/>
      <c r="AKI10" s="301"/>
      <c r="AKR10" s="155">
        <f>IFERROR(IF(AKR9="Ítem",1,ROW()-ROW(SolCotizacion!#REF!)),ROW()-ROW(SolCotizacion!#REF!))</f>
        <v>1</v>
      </c>
      <c r="AKS10" s="319" t="str">
        <f>+SolCotizacion!$I$28</f>
        <v>min03-P57</v>
      </c>
      <c r="AKT10" s="319"/>
      <c r="AKU10" s="319"/>
      <c r="AKV10" s="477" t="str">
        <f>+SolCotizacion!$L$28</f>
        <v>SOBRECARPA_según NTMD vigente</v>
      </c>
      <c r="AKW10" s="478"/>
      <c r="AKX10" s="478"/>
      <c r="AKY10" s="478"/>
      <c r="AKZ10" s="478"/>
      <c r="ALA10" s="478"/>
      <c r="ALB10" s="478"/>
      <c r="ALC10" s="478"/>
      <c r="ALD10" s="478"/>
      <c r="ALE10" s="478"/>
      <c r="ALF10" s="478"/>
      <c r="ALG10" s="478"/>
      <c r="ALH10" s="478"/>
      <c r="ALI10" s="479"/>
      <c r="ALJ10" s="325">
        <v>1</v>
      </c>
      <c r="ALK10" s="325"/>
      <c r="ALL10" s="325"/>
      <c r="ALM10" s="298">
        <f>+IFERROR(ROUND(VLOOKUP(AKR10&amp;"_"&amp;AKS10,Cat_resumido!$C:$DE,Var!$F$2-2,FALSE)/1,2),"")</f>
        <v>88595793</v>
      </c>
      <c r="ALN10" s="298"/>
      <c r="ALO10" s="298"/>
      <c r="ALP10" s="299">
        <f ca="1">+IFERROR(ROUND(ALM10/(1-Var!$F$3),0),"")</f>
        <v>89490700</v>
      </c>
      <c r="ALQ10" s="300"/>
      <c r="ALR10" s="300"/>
      <c r="ALS10" s="301"/>
      <c r="AMV10" s="155" t="str">
        <f>+IFERROR(VLOOKUP(AOR10,Consolidacion_respuestas!$B:$BM,MATCH(AMV9,Consolidacion_respuestas!$33:$33,0)-1,FALSE),"")</f>
        <v/>
      </c>
      <c r="AMW10" s="319" t="str">
        <f>+IFERROR(VLOOKUP(AOR10,Consolidacion_respuestas!$B:$BM,MATCH(AMW9,Consolidacion_respuestas!$33:$33,0)-1,FALSE),"")</f>
        <v/>
      </c>
      <c r="AMX10" s="319" t="str">
        <f>+IFERROR(VLOOKUP($AOR10,Consolidacion_respuestas!$B:$BM,MATCH(Cuadros!AMX9,Consolidacion_respuestas!$33:$33,0)-1,FALSE),"")</f>
        <v/>
      </c>
      <c r="AMY10" s="319" t="str">
        <f>+IFERROR(VLOOKUP($AOR10,Consolidacion_respuestas!$B:$BM,MATCH(Cuadros!AMY9,Consolidacion_respuestas!$33:$33,0)-1,FALSE),"")</f>
        <v/>
      </c>
      <c r="AMZ10" s="324" t="str">
        <f>+IFERROR(VLOOKUP(AOR10,Consolidacion_respuestas!$B:$BM,MATCH(AMZ9,Consolidacion_respuestas!$33:$33,0)-1,FALSE),"")</f>
        <v/>
      </c>
      <c r="ANA10" s="324" t="str">
        <f>+IFERROR(VLOOKUP($AOR10,Consolidacion_respuestas!$B:$BM,MATCH(Cuadros!ANA9,Consolidacion_respuestas!$33:$33,0)-1,FALSE),"")</f>
        <v/>
      </c>
      <c r="ANB10" s="324" t="str">
        <f>+IFERROR(VLOOKUP($AOR10,Consolidacion_respuestas!$B:$BM,MATCH(Cuadros!ANB9,Consolidacion_respuestas!$33:$33,0)-1,FALSE),"")</f>
        <v/>
      </c>
      <c r="ANC10" s="324" t="str">
        <f>+IFERROR(VLOOKUP($AOR10,Consolidacion_respuestas!$B:$BM,MATCH(Cuadros!ANC9,Consolidacion_respuestas!$33:$33,0)-1,FALSE),"")</f>
        <v/>
      </c>
      <c r="AND10" s="324" t="str">
        <f>+IFERROR(VLOOKUP($AOR10,Consolidacion_respuestas!$B:$BM,MATCH(Cuadros!AND9,Consolidacion_respuestas!$33:$33,0)-1,FALSE),"")</f>
        <v/>
      </c>
      <c r="ANE10" s="324" t="str">
        <f>+IFERROR(VLOOKUP($AOR10,Consolidacion_respuestas!$B:$BM,MATCH(Cuadros!ANE9,Consolidacion_respuestas!$33:$33,0)-1,FALSE),"")</f>
        <v/>
      </c>
      <c r="ANF10" s="324" t="str">
        <f>+IFERROR(VLOOKUP($AOR10,Consolidacion_respuestas!$B:$BM,MATCH(Cuadros!ANF9,Consolidacion_respuestas!$33:$33,0)-1,FALSE),"")</f>
        <v/>
      </c>
      <c r="ANG10" s="324" t="str">
        <f>+IFERROR(VLOOKUP($AOR10,Consolidacion_respuestas!$B:$BM,MATCH(Cuadros!ANG9,Consolidacion_respuestas!$33:$33,0)-1,FALSE),"")</f>
        <v/>
      </c>
      <c r="ANH10" s="324" t="str">
        <f>+IFERROR(VLOOKUP($AOR10,Consolidacion_respuestas!$B:$BM,MATCH(Cuadros!ANH9,Consolidacion_respuestas!$33:$33,0)-1,FALSE),"")</f>
        <v/>
      </c>
      <c r="ANI10" s="324" t="str">
        <f>+IFERROR(VLOOKUP($AOR10,Consolidacion_respuestas!$B:$BM,MATCH(Cuadros!ANI9,Consolidacion_respuestas!$33:$33,0)-1,FALSE),"")</f>
        <v/>
      </c>
      <c r="ANJ10" s="324" t="str">
        <f>+IFERROR(VLOOKUP($AOR10,Consolidacion_respuestas!$B:$BM,MATCH(Cuadros!ANJ9,Consolidacion_respuestas!$33:$33,0)-1,FALSE),"")</f>
        <v/>
      </c>
      <c r="ANK10" s="319" t="str">
        <f>+IFERROR(VLOOKUP(AOR10,Consolidacion_respuestas!$B:$BM,MATCH(ANK9,Consolidacion_respuestas!$33:$33,0)-1,FALSE),"")</f>
        <v/>
      </c>
      <c r="ANL10" s="319" t="str">
        <f>+IFERROR(VLOOKUP($AOR10,Consolidacion_respuestas!$B:$BM,MATCH(Cuadros!ANL9,Consolidacion_respuestas!$33:$33,0)-1,FALSE),"")</f>
        <v/>
      </c>
      <c r="ANM10" s="319" t="str">
        <f>+IFERROR(VLOOKUP($AOR10,Consolidacion_respuestas!$B:$BM,MATCH(Cuadros!ANM9,Consolidacion_respuestas!$33:$33,0)-1,FALSE),"")</f>
        <v/>
      </c>
      <c r="ANN10" s="298" t="str">
        <f>+IFERROR(VLOOKUP(AOR10,Consolidacion_respuestas!$B:$BM,MATCH(ANN9,Consolidacion_respuestas!$33:$33,0)-1,FALSE),"")</f>
        <v/>
      </c>
      <c r="ANO10" s="298" t="str">
        <f>+IFERROR(VLOOKUP($AOR10,Consolidacion_respuestas!$B:$BM,MATCH(Cuadros!ANO9,Consolidacion_respuestas!$33:$33,0)-1,FALSE),"")</f>
        <v/>
      </c>
      <c r="ANP10" s="298" t="str">
        <f>+IFERROR(VLOOKUP($AOR10,Consolidacion_respuestas!$B:$BM,MATCH(Cuadros!ANP9,Consolidacion_respuestas!$33:$33,0)-1,FALSE),"")</f>
        <v/>
      </c>
      <c r="ANQ10" s="298" t="str">
        <f>+IFERROR(VLOOKUP(AOR10,Consolidacion_respuestas!$B:$BM,MATCH(ANQ9,Consolidacion_respuestas!$33:$33,0)-1,FALSE),"")</f>
        <v/>
      </c>
      <c r="ANR10" s="298" t="str">
        <f>+IFERROR(VLOOKUP($AOR10,Consolidacion_respuestas!$B:$BM,MATCH(Cuadros!ANR9,Consolidacion_respuestas!$33:$33,0)-1,FALSE),"")</f>
        <v/>
      </c>
      <c r="ANS10" s="298" t="str">
        <f>+IFERROR(VLOOKUP($AOR10,Consolidacion_respuestas!$B:$BM,MATCH(Cuadros!ANS9,Consolidacion_respuestas!$33:$33,0)-1,FALSE),"")</f>
        <v/>
      </c>
      <c r="ANT10" s="483" t="str">
        <f>+IFERROR(VLOOKUP(AOR10,Consolidacion_respuestas!$B:$BM,MATCH(ANT9,Consolidacion_respuestas!$33:$33,0)-1,FALSE),"")</f>
        <v/>
      </c>
      <c r="ANU10" s="483" t="str">
        <f>+IFERROR(VLOOKUP($AOR10,Consolidacion_respuestas!$B:$BM,MATCH(Cuadros!ANU9,Consolidacion_respuestas!$33:$33,0)-1,FALSE),"")</f>
        <v/>
      </c>
      <c r="ANV10" s="298" t="str">
        <f>+IFERROR(VLOOKUP(AOR10,Consolidacion_respuestas!$B:$BM,MATCH(ANV9,Consolidacion_respuestas!$33:$33,0)-1,FALSE),"")</f>
        <v/>
      </c>
      <c r="ANW10" s="298" t="str">
        <f>+IFERROR(VLOOKUP($AOR10,Consolidacion_respuestas!$B:$BM,MATCH(Cuadros!ANW9,Consolidacion_respuestas!$33:$33,0)-1,FALSE),"")</f>
        <v/>
      </c>
      <c r="ANX10" s="298" t="str">
        <f>+IFERROR(VLOOKUP($AOR10,Consolidacion_respuestas!$B:$BM,MATCH(Cuadros!ANX9,Consolidacion_respuestas!$33:$33,0)-1,FALSE),"")</f>
        <v/>
      </c>
      <c r="ANY10" s="298" t="str">
        <f>+IFERROR(VLOOKUP(AOR10,Consolidacion_respuestas!$B:$BM,MATCH(ANY9,Consolidacion_respuestas!$33:$33,0)-1,FALSE),"")</f>
        <v/>
      </c>
      <c r="ANZ10" s="298" t="str">
        <f>+IFERROR(VLOOKUP($AOR10,Consolidacion_respuestas!$B:$BM,MATCH(Cuadros!ANZ9,Consolidacion_respuestas!$33:$33,0)-1,FALSE),"")</f>
        <v/>
      </c>
      <c r="AOA10" s="298" t="str">
        <f>+IFERROR(VLOOKUP($AOR10,Consolidacion_respuestas!$B:$BM,MATCH(Cuadros!AOA9,Consolidacion_respuestas!$33:$33,0)-1,FALSE),"")</f>
        <v/>
      </c>
      <c r="AOB10" s="324" t="str">
        <f>+IFERROR(VLOOKUP(AOR10,Consolidacion_respuestas!$B:$BM,MATCH(AOB9,Consolidacion_respuestas!$33:$33,0)-1,FALSE),"")</f>
        <v/>
      </c>
      <c r="AOC10" s="324" t="str">
        <f>+IFERROR(VLOOKUP($AOR10,Consolidacion_respuestas!$B:$BM,MATCH(Cuadros!AOC9,Consolidacion_respuestas!$33:$33,0)-1,FALSE),"")</f>
        <v/>
      </c>
      <c r="AOD10" s="401" t="str">
        <f>+IFERROR(VLOOKUP(AOR10,Consolidacion_respuestas!$B:$BM,MATCH(AOD9,Consolidacion_respuestas!$33:$33,0)-1,FALSE),"")</f>
        <v/>
      </c>
      <c r="AOE10" s="401" t="str">
        <f>+IFERROR(VLOOKUP($AOR10,Consolidacion_respuestas!$B:$BM,MATCH(Cuadros!AOE9,Consolidacion_respuestas!$33:$33,0)-1,FALSE),"")</f>
        <v/>
      </c>
      <c r="AOF10" s="298" t="str">
        <f>+IFERROR(VLOOKUP(AOR10,Consolidacion_respuestas!$B:$BM,MATCH(AOF9,Consolidacion_respuestas!$33:$33,0)-1,FALSE),"")</f>
        <v/>
      </c>
      <c r="AOG10" s="298" t="str">
        <f>+IFERROR(VLOOKUP($AOR10,Consolidacion_respuestas!$B:$BM,MATCH(Cuadros!AOG9,Consolidacion_respuestas!$33:$33,0)-1,FALSE),"")</f>
        <v/>
      </c>
      <c r="AOH10" s="298" t="str">
        <f>+IFERROR(VLOOKUP($AOR10,Consolidacion_respuestas!$B:$BM,MATCH(Cuadros!AOH9,Consolidacion_respuestas!$33:$33,0)-1,FALSE),"")</f>
        <v/>
      </c>
      <c r="AOI10" s="298" t="str">
        <f>+IFERROR(VLOOKUP(AOR10,Consolidacion_respuestas!$B:$BM,MATCH(AOI9,Consolidacion_respuestas!$33:$33,0)-1,FALSE),"")</f>
        <v/>
      </c>
      <c r="AOJ10" s="298" t="str">
        <f>+IFERROR(VLOOKUP($AOR10,Consolidacion_respuestas!$B:$BM,MATCH(Cuadros!AOJ9,Consolidacion_respuestas!$33:$33,0)-1,FALSE),"")</f>
        <v/>
      </c>
      <c r="AOK10" s="298" t="str">
        <f>+IFERROR(VLOOKUP($AOR10,Consolidacion_respuestas!$B:$BM,MATCH(Cuadros!AOK9,Consolidacion_respuestas!$33:$33,0)-1,FALSE),"")</f>
        <v/>
      </c>
      <c r="AOL10" s="319" t="str">
        <f>+IFERROR(VLOOKUP(AOR10,Consolidacion_respuestas!$B:$BM,MATCH(AOL9,Consolidacion_respuestas!$33:$33,0)-1,FALSE),"")</f>
        <v/>
      </c>
      <c r="AOM10" s="319" t="str">
        <f>+IFERROR(VLOOKUP($AOR10,Consolidacion_respuestas!$B:$BM,MATCH(Cuadros!AOM9,Consolidacion_respuestas!$33:$33,0)-1,FALSE),"")</f>
        <v/>
      </c>
      <c r="AON10" s="319" t="str">
        <f>+IFERROR(VLOOKUP($AOR10,Consolidacion_respuestas!$B:$BM,MATCH(Cuadros!AON9,Consolidacion_respuestas!$33:$33,0)-1,FALSE),"")</f>
        <v/>
      </c>
      <c r="AOO10" s="324" t="str">
        <f>+IFERROR(VLOOKUP(AOR10,Consolidacion_respuestas!$B:$BM,MATCH(AOO9,Consolidacion_respuestas!$33:$33,0)-1,FALSE),"")</f>
        <v/>
      </c>
      <c r="AOP10" s="324" t="str">
        <f>+IFERROR(VLOOKUP($AOR10,Consolidacion_respuestas!$B:$BM,MATCH(Cuadros!AOP9,Consolidacion_respuestas!$33:$33,0)-1,FALSE),"")</f>
        <v/>
      </c>
      <c r="AOQ10" s="324" t="str">
        <f>+IFERROR(VLOOKUP($AOR10,Consolidacion_respuestas!$B:$BM,MATCH(Cuadros!AOQ9,Consolidacion_respuestas!$33:$33,0)-1,FALSE),"")</f>
        <v/>
      </c>
      <c r="AOR10" s="345"/>
      <c r="AOS10" s="345"/>
      <c r="AOT10" s="345"/>
      <c r="AOU10" s="345"/>
      <c r="AOV10" s="345"/>
      <c r="AOW10" s="345"/>
      <c r="AOX10" s="157" t="str">
        <f>+AMW10&amp;"-R" &amp; RIGHT(AOL10,1)</f>
        <v>-R</v>
      </c>
    </row>
    <row r="11" spans="1:1090" s="15" customFormat="1" ht="30" customHeight="1">
      <c r="FS11" s="250" t="str">
        <f>"Versión:" &amp; Var!$F$10</f>
        <v>Versión:7        05/02/2026</v>
      </c>
      <c r="FT11" s="250"/>
      <c r="FU11" s="250"/>
      <c r="FV11" s="250"/>
      <c r="FW11" s="250"/>
      <c r="FX11" s="250"/>
      <c r="FY11" s="246" t="str">
        <f>+Var!$F$21</f>
        <v>Material de Intendencia III</v>
      </c>
      <c r="FZ11" s="246"/>
      <c r="GA11" s="246"/>
      <c r="GB11" s="246"/>
      <c r="GC11" s="246"/>
      <c r="GD11" s="246"/>
      <c r="GE11" s="246"/>
      <c r="GF11" s="246"/>
      <c r="GG11" s="246"/>
      <c r="GH11" s="246"/>
      <c r="GI11" s="246"/>
      <c r="GJ11" s="246"/>
      <c r="GK11" s="246"/>
      <c r="GL11" s="246"/>
      <c r="GM11" s="246"/>
      <c r="GN11" s="246"/>
      <c r="GO11" s="60"/>
      <c r="GP11" s="60"/>
      <c r="GQ11" s="60"/>
      <c r="GR11" s="60"/>
      <c r="GS11" s="60"/>
      <c r="GT11" s="60"/>
      <c r="GU11" s="53"/>
      <c r="GV11" s="53"/>
      <c r="GW11" s="53"/>
      <c r="GX11" s="53"/>
      <c r="GY11" s="53"/>
      <c r="GZ11" s="250" t="str">
        <f>"Versión:" &amp; Var!$F$10</f>
        <v>Versión:7        05/02/2026</v>
      </c>
      <c r="HA11" s="250"/>
      <c r="HB11" s="250"/>
      <c r="HC11" s="250"/>
      <c r="HD11" s="250"/>
      <c r="HE11" s="250"/>
      <c r="HF11" s="246" t="str">
        <f>+Var!$F$21</f>
        <v>Material de Intendencia III</v>
      </c>
      <c r="HG11" s="246"/>
      <c r="HH11" s="246"/>
      <c r="HI11" s="246"/>
      <c r="HJ11" s="246"/>
      <c r="HK11" s="246"/>
      <c r="HL11" s="246"/>
      <c r="HM11" s="246"/>
      <c r="HN11" s="246"/>
      <c r="HO11" s="246"/>
      <c r="HP11" s="246"/>
      <c r="HQ11" s="246"/>
      <c r="HR11" s="246"/>
      <c r="HS11" s="246"/>
      <c r="HT11" s="246"/>
      <c r="HU11" s="246"/>
      <c r="HV11" s="60"/>
      <c r="HW11" s="60"/>
      <c r="HX11" s="60"/>
      <c r="HY11" s="60"/>
      <c r="HZ11" s="60"/>
      <c r="IA11" s="60"/>
      <c r="IB11" s="53"/>
      <c r="IC11" s="53"/>
      <c r="ID11" s="53"/>
      <c r="IE11" s="53"/>
      <c r="IF11" s="53"/>
      <c r="IG11" s="250" t="str">
        <f>"Versión:" &amp; Var!$F$10</f>
        <v>Versión:7        05/02/2026</v>
      </c>
      <c r="IH11" s="250"/>
      <c r="II11" s="250"/>
      <c r="IJ11" s="250"/>
      <c r="IK11" s="250"/>
      <c r="IL11" s="250"/>
      <c r="IM11" s="246" t="str">
        <f>+Var!$F$21</f>
        <v>Material de Intendencia III</v>
      </c>
      <c r="IN11" s="246"/>
      <c r="IO11" s="246"/>
      <c r="IP11" s="246"/>
      <c r="IQ11" s="246"/>
      <c r="IR11" s="246"/>
      <c r="IS11" s="246"/>
      <c r="IT11" s="246"/>
      <c r="IU11" s="246"/>
      <c r="IV11" s="246"/>
      <c r="IW11" s="246"/>
      <c r="IX11" s="246"/>
      <c r="IY11" s="246"/>
      <c r="IZ11" s="246"/>
      <c r="JA11" s="246"/>
      <c r="JB11" s="246"/>
      <c r="JC11" s="60"/>
      <c r="JD11" s="60"/>
      <c r="JE11" s="60"/>
      <c r="JF11" s="60"/>
      <c r="JG11" s="60"/>
      <c r="JH11" s="60"/>
      <c r="JK11" s="402" t="s">
        <v>185</v>
      </c>
      <c r="JL11" s="402"/>
      <c r="JM11" s="402"/>
      <c r="JN11" s="402"/>
      <c r="JO11" s="402"/>
      <c r="JP11" s="402"/>
      <c r="JQ11" s="402"/>
      <c r="JR11" s="402"/>
      <c r="JS11" s="402"/>
      <c r="JT11" s="402"/>
      <c r="JU11" s="402"/>
      <c r="JV11" s="402"/>
      <c r="JW11" s="402"/>
      <c r="JX11" s="402"/>
      <c r="JY11" s="402"/>
      <c r="JZ11" s="402"/>
      <c r="KA11" s="402"/>
      <c r="KB11" s="402"/>
      <c r="KC11" s="402"/>
      <c r="KD11" s="402"/>
      <c r="KE11" s="402"/>
      <c r="KF11" s="402"/>
      <c r="KG11" s="40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01" t="s">
        <v>1325</v>
      </c>
      <c r="NI11" s="201"/>
      <c r="NJ11" s="201"/>
      <c r="NK11" s="298">
        <f ca="1">+NK10+NK9</f>
        <v>0</v>
      </c>
      <c r="NL11" s="298"/>
      <c r="NM11" s="298"/>
      <c r="NN11" s="298"/>
      <c r="NV11" s="201" t="s">
        <v>3923</v>
      </c>
      <c r="NW11" s="201"/>
      <c r="NX11" s="201"/>
      <c r="NY11" s="298">
        <f ca="1">+NY10+NY9</f>
        <v>0</v>
      </c>
      <c r="NZ11" s="298"/>
      <c r="OA11" s="298"/>
      <c r="OB11" s="298"/>
      <c r="OC11"/>
      <c r="OD11"/>
      <c r="OE11"/>
      <c r="OF11"/>
      <c r="OG11"/>
      <c r="OH11"/>
      <c r="OI11"/>
      <c r="OJ11"/>
      <c r="OK11"/>
      <c r="OL11"/>
      <c r="OM11"/>
      <c r="PN11"/>
      <c r="PO11"/>
      <c r="PP11"/>
      <c r="PQ11"/>
      <c r="PR11"/>
      <c r="PS11"/>
      <c r="PT11"/>
      <c r="PU11"/>
      <c r="PV11"/>
      <c r="PW11"/>
      <c r="PX11"/>
      <c r="QY11"/>
      <c r="QZ11"/>
      <c r="RA11"/>
      <c r="TC11" s="219"/>
      <c r="ZL11" s="75" t="e">
        <f>IFERROR(IF(ZL10="Ítem",1,ROW()-ROW(SolCotizacion!#REF!)),ROW()-ROW(SolCotizacion!#REF!))</f>
        <v>#REF!</v>
      </c>
      <c r="ZM11" s="455" t="s">
        <v>1465</v>
      </c>
      <c r="ZN11" s="456"/>
      <c r="ZO11" s="456"/>
      <c r="ZP11" s="456"/>
      <c r="ZQ11" s="456"/>
      <c r="ZR11" s="456"/>
      <c r="ZS11" s="456"/>
      <c r="ZT11" s="456"/>
      <c r="ZU11" s="456"/>
      <c r="ZV11" s="456"/>
      <c r="ZW11" s="456"/>
      <c r="ZX11" s="457"/>
      <c r="ZY11" s="455"/>
      <c r="ZZ11" s="456"/>
      <c r="AAA11" s="456"/>
      <c r="AAB11" s="456"/>
      <c r="AAC11" s="456"/>
      <c r="AAD11" s="456"/>
      <c r="AAE11" s="456"/>
      <c r="AAF11" s="456"/>
      <c r="AAG11" s="456"/>
      <c r="AAH11" s="456"/>
      <c r="AAI11" s="456"/>
      <c r="AAJ11" s="456"/>
      <c r="AAK11" s="456"/>
      <c r="AAL11" s="456"/>
      <c r="AAM11" s="457"/>
      <c r="ACQ11" s="201" t="s">
        <v>1325</v>
      </c>
      <c r="ACR11" s="201"/>
      <c r="ACS11" s="201"/>
      <c r="ACT11" s="298">
        <f>+ACT10+ACT9</f>
        <v>0</v>
      </c>
      <c r="ACU11" s="298"/>
      <c r="ACV11" s="298"/>
      <c r="ACW11" s="298"/>
    </row>
    <row r="12" spans="1:1090" ht="30" customHeight="1" thickBot="1">
      <c r="FS12" s="251"/>
      <c r="FT12" s="251"/>
      <c r="FU12" s="251"/>
      <c r="FV12" s="251"/>
      <c r="FW12" s="251"/>
      <c r="FX12" s="251"/>
      <c r="FY12" s="246"/>
      <c r="FZ12" s="246"/>
      <c r="GA12" s="246"/>
      <c r="GB12" s="246"/>
      <c r="GC12" s="246"/>
      <c r="GD12" s="246"/>
      <c r="GE12" s="246"/>
      <c r="GF12" s="246"/>
      <c r="GG12" s="246"/>
      <c r="GH12" s="246"/>
      <c r="GI12" s="246"/>
      <c r="GJ12" s="246"/>
      <c r="GK12" s="246"/>
      <c r="GL12" s="246"/>
      <c r="GM12" s="246"/>
      <c r="GN12" s="246"/>
      <c r="GO12" s="60"/>
      <c r="GP12" s="60"/>
      <c r="GQ12" s="60"/>
      <c r="GR12" s="60"/>
      <c r="GS12" s="60"/>
      <c r="GT12" s="60"/>
      <c r="GU12" s="53"/>
      <c r="GV12" s="53"/>
      <c r="GW12" s="53"/>
      <c r="GX12" s="53"/>
      <c r="GY12" s="53"/>
      <c r="GZ12" s="251"/>
      <c r="HA12" s="251"/>
      <c r="HB12" s="251"/>
      <c r="HC12" s="251"/>
      <c r="HD12" s="251"/>
      <c r="HE12" s="251"/>
      <c r="HF12" s="246"/>
      <c r="HG12" s="246"/>
      <c r="HH12" s="246"/>
      <c r="HI12" s="246"/>
      <c r="HJ12" s="246"/>
      <c r="HK12" s="246"/>
      <c r="HL12" s="246"/>
      <c r="HM12" s="246"/>
      <c r="HN12" s="246"/>
      <c r="HO12" s="246"/>
      <c r="HP12" s="246"/>
      <c r="HQ12" s="246"/>
      <c r="HR12" s="246"/>
      <c r="HS12" s="246"/>
      <c r="HT12" s="246"/>
      <c r="HU12" s="246"/>
      <c r="HV12" s="60"/>
      <c r="HW12" s="60"/>
      <c r="HX12" s="60"/>
      <c r="HY12" s="60"/>
      <c r="HZ12" s="60"/>
      <c r="IA12" s="60"/>
      <c r="IB12" s="53"/>
      <c r="IC12" s="53"/>
      <c r="ID12" s="53"/>
      <c r="IE12" s="53"/>
      <c r="IF12" s="53"/>
      <c r="IG12" s="251"/>
      <c r="IH12" s="251"/>
      <c r="II12" s="251"/>
      <c r="IJ12" s="251"/>
      <c r="IK12" s="251"/>
      <c r="IL12" s="251"/>
      <c r="IM12" s="246"/>
      <c r="IN12" s="246"/>
      <c r="IO12" s="246"/>
      <c r="IP12" s="246"/>
      <c r="IQ12" s="246"/>
      <c r="IR12" s="246"/>
      <c r="IS12" s="246"/>
      <c r="IT12" s="246"/>
      <c r="IU12" s="246"/>
      <c r="IV12" s="246"/>
      <c r="IW12" s="246"/>
      <c r="IX12" s="246"/>
      <c r="IY12" s="246"/>
      <c r="IZ12" s="246"/>
      <c r="JA12" s="246"/>
      <c r="JB12" s="246"/>
      <c r="JC12" s="60"/>
      <c r="JD12" s="60"/>
      <c r="JE12" s="60"/>
      <c r="JF12" s="60"/>
      <c r="JG12" s="60"/>
      <c r="JH12" s="60"/>
      <c r="JK12" s="402"/>
      <c r="JL12" s="402"/>
      <c r="JM12" s="402"/>
      <c r="JN12" s="402"/>
      <c r="JO12" s="402"/>
      <c r="JP12" s="402"/>
      <c r="JQ12" s="402"/>
      <c r="JR12" s="402"/>
      <c r="JS12" s="402"/>
      <c r="JT12" s="402"/>
      <c r="JU12" s="402"/>
      <c r="JV12" s="402"/>
      <c r="JW12" s="402"/>
      <c r="JX12" s="402"/>
      <c r="JY12" s="402"/>
      <c r="JZ12" s="402"/>
      <c r="KA12" s="402"/>
      <c r="KB12" s="402"/>
      <c r="KC12" s="402"/>
      <c r="KD12" s="402"/>
      <c r="KE12" s="402"/>
      <c r="KF12" s="402"/>
      <c r="KG12" s="402"/>
      <c r="NV12" s="201" t="s">
        <v>3928</v>
      </c>
      <c r="NW12" s="201"/>
      <c r="NX12" s="201"/>
      <c r="NY12" s="459" t="str">
        <f ca="1">+IFERROR(ROUND(ResCotizacion!$AE$22/NY11,0),"")</f>
        <v/>
      </c>
      <c r="NZ12" s="460"/>
      <c r="OA12" s="460"/>
      <c r="OB12" s="461"/>
      <c r="TC12" s="220" t="s">
        <v>162</v>
      </c>
      <c r="VK12" t="s">
        <v>1392</v>
      </c>
      <c r="ZL12" s="75" t="e">
        <f>IFERROR(IF(ZL11="Ítem",1,ROW()-ROW(SolCotizacion!#REF!)),ROW()-ROW(SolCotizacion!#REF!))</f>
        <v>#REF!</v>
      </c>
      <c r="ZM12" s="455" t="s">
        <v>1466</v>
      </c>
      <c r="ZN12" s="456"/>
      <c r="ZO12" s="456"/>
      <c r="ZP12" s="456"/>
      <c r="ZQ12" s="456"/>
      <c r="ZR12" s="456"/>
      <c r="ZS12" s="456"/>
      <c r="ZT12" s="456"/>
      <c r="ZU12" s="456"/>
      <c r="ZV12" s="456"/>
      <c r="ZW12" s="456"/>
      <c r="ZX12" s="457"/>
      <c r="ZY12" s="455"/>
      <c r="ZZ12" s="456"/>
      <c r="AAA12" s="456"/>
      <c r="AAB12" s="456"/>
      <c r="AAC12" s="456"/>
      <c r="AAD12" s="456"/>
      <c r="AAE12" s="456"/>
      <c r="AAF12" s="456"/>
      <c r="AAG12" s="456"/>
      <c r="AAH12" s="456"/>
      <c r="AAI12" s="456"/>
      <c r="AAJ12" s="456"/>
      <c r="AAK12" s="456"/>
      <c r="AAL12" s="456"/>
      <c r="AAM12" s="457"/>
    </row>
    <row r="13" spans="1:1090" ht="30" customHeight="1">
      <c r="O13" s="18"/>
      <c r="P13" s="18"/>
      <c r="Q13" s="18"/>
      <c r="R13" s="18"/>
      <c r="S13" s="18"/>
      <c r="T13" s="18"/>
      <c r="U13" s="18"/>
      <c r="V13" s="18"/>
      <c r="FS13" s="247" t="s">
        <v>3909</v>
      </c>
      <c r="FT13" s="247"/>
      <c r="FU13" s="247"/>
      <c r="FV13" s="247"/>
      <c r="FW13" s="247"/>
      <c r="FX13" s="247"/>
      <c r="FY13" s="247"/>
      <c r="FZ13" s="247"/>
      <c r="GA13" s="247"/>
      <c r="GB13" s="247"/>
      <c r="GC13" s="247"/>
      <c r="GD13" s="247"/>
      <c r="GE13" s="247"/>
      <c r="GF13" s="247"/>
      <c r="GG13" s="247"/>
      <c r="GH13" s="247"/>
      <c r="GI13" s="247"/>
      <c r="GJ13" s="247"/>
      <c r="GK13" s="247"/>
      <c r="GL13" s="247"/>
      <c r="GM13" s="247"/>
      <c r="GN13" s="247"/>
      <c r="GO13" s="247"/>
      <c r="GP13" s="247"/>
      <c r="GQ13" s="247"/>
      <c r="GR13" s="247"/>
      <c r="GS13" s="247"/>
      <c r="GT13" s="247"/>
      <c r="GZ13" s="247" t="s">
        <v>3909</v>
      </c>
      <c r="HA13" s="247"/>
      <c r="HB13" s="247"/>
      <c r="HC13" s="247"/>
      <c r="HD13" s="247"/>
      <c r="HE13" s="247"/>
      <c r="HF13" s="247"/>
      <c r="HG13" s="247"/>
      <c r="HH13" s="247"/>
      <c r="HI13" s="247"/>
      <c r="HJ13" s="247"/>
      <c r="HK13" s="247"/>
      <c r="HL13" s="247"/>
      <c r="HM13" s="247"/>
      <c r="HN13" s="247"/>
      <c r="HO13" s="247"/>
      <c r="HP13" s="247"/>
      <c r="HQ13" s="247"/>
      <c r="HR13" s="247"/>
      <c r="HS13" s="247"/>
      <c r="HT13" s="247"/>
      <c r="HU13" s="247"/>
      <c r="HV13" s="247"/>
      <c r="HW13" s="247"/>
      <c r="HX13" s="247"/>
      <c r="HY13" s="247"/>
      <c r="HZ13" s="247"/>
      <c r="IA13" s="247"/>
      <c r="IG13" s="247" t="s">
        <v>3909</v>
      </c>
      <c r="IH13" s="247"/>
      <c r="II13" s="247"/>
      <c r="IJ13" s="247"/>
      <c r="IK13" s="247"/>
      <c r="IL13" s="247"/>
      <c r="IM13" s="247"/>
      <c r="IN13" s="247"/>
      <c r="IO13" s="247"/>
      <c r="IP13" s="247"/>
      <c r="IQ13" s="247"/>
      <c r="IR13" s="247"/>
      <c r="IS13" s="247"/>
      <c r="IT13" s="247"/>
      <c r="IU13" s="247"/>
      <c r="IV13" s="247"/>
      <c r="IW13" s="247"/>
      <c r="IX13" s="247"/>
      <c r="IY13" s="247"/>
      <c r="IZ13" s="247"/>
      <c r="JA13" s="247"/>
      <c r="JB13" s="247"/>
      <c r="JC13" s="247"/>
      <c r="JD13" s="247"/>
      <c r="JE13" s="247"/>
      <c r="JF13" s="247"/>
      <c r="JG13" s="247"/>
      <c r="JH13" s="247"/>
      <c r="TC13" s="221"/>
      <c r="TQ13" s="127" t="s">
        <v>263</v>
      </c>
      <c r="TR13" s="386" t="s">
        <v>1266</v>
      </c>
      <c r="TS13" s="386"/>
      <c r="TT13" s="388" t="s">
        <v>1420</v>
      </c>
      <c r="TU13" s="389"/>
      <c r="TV13" s="389"/>
      <c r="TW13" s="389"/>
      <c r="TX13" s="389"/>
      <c r="TY13" s="389"/>
      <c r="TZ13" s="388" t="s">
        <v>1</v>
      </c>
      <c r="UA13" s="389"/>
      <c r="UB13" s="389"/>
      <c r="UC13" s="390" t="s">
        <v>156</v>
      </c>
      <c r="UD13" s="391"/>
      <c r="UE13" s="392"/>
      <c r="UF13" s="125" t="s">
        <v>1767</v>
      </c>
      <c r="UG13" s="125" t="s">
        <v>1324</v>
      </c>
      <c r="UH13" s="94" t="s">
        <v>1450</v>
      </c>
      <c r="UI13" s="390" t="s">
        <v>1905</v>
      </c>
      <c r="UJ13" s="392"/>
      <c r="UK13" s="386" t="s">
        <v>1908</v>
      </c>
      <c r="UL13" s="386"/>
      <c r="UM13" s="386" t="s">
        <v>1906</v>
      </c>
      <c r="UN13" s="386"/>
      <c r="UO13" s="390" t="s">
        <v>1907</v>
      </c>
      <c r="UP13" s="392"/>
      <c r="UQ13" s="386" t="s">
        <v>1768</v>
      </c>
      <c r="UR13" s="386"/>
      <c r="ZL13" s="75" t="e">
        <f>IFERROR(IF(ZL12="Ítem",1,ROW()-ROW(SolCotizacion!#REF!)),ROW()-ROW(SolCotizacion!#REF!))</f>
        <v>#REF!</v>
      </c>
      <c r="ZM13" s="455" t="s">
        <v>1467</v>
      </c>
      <c r="ZN13" s="456"/>
      <c r="ZO13" s="456"/>
      <c r="ZP13" s="456"/>
      <c r="ZQ13" s="456"/>
      <c r="ZR13" s="456"/>
      <c r="ZS13" s="456"/>
      <c r="ZT13" s="456"/>
      <c r="ZU13" s="456"/>
      <c r="ZV13" s="456"/>
      <c r="ZW13" s="456"/>
      <c r="ZX13" s="457"/>
      <c r="ZY13" s="455"/>
      <c r="ZZ13" s="456"/>
      <c r="AAA13" s="456"/>
      <c r="AAB13" s="456"/>
      <c r="AAC13" s="456"/>
      <c r="AAD13" s="456"/>
      <c r="AAE13" s="456"/>
      <c r="AAF13" s="456"/>
      <c r="AAG13" s="456"/>
      <c r="AAH13" s="456"/>
      <c r="AAI13" s="456"/>
      <c r="AAJ13" s="456"/>
      <c r="AAK13" s="456"/>
      <c r="AAL13" s="456"/>
      <c r="AAM13" s="457"/>
      <c r="AFM13" s="127" t="s">
        <v>263</v>
      </c>
      <c r="AFN13" s="386" t="s">
        <v>1266</v>
      </c>
      <c r="AFO13" s="386"/>
      <c r="AFP13" s="388" t="s">
        <v>1420</v>
      </c>
      <c r="AFQ13" s="389"/>
      <c r="AFR13" s="389"/>
      <c r="AFS13" s="389"/>
      <c r="AFT13" s="389"/>
      <c r="AFU13" s="389"/>
      <c r="AFV13" s="388" t="s">
        <v>1</v>
      </c>
      <c r="AFW13" s="389"/>
      <c r="AFX13" s="389"/>
      <c r="AFY13" s="390" t="s">
        <v>156</v>
      </c>
      <c r="AFZ13" s="391"/>
      <c r="AGA13" s="392"/>
      <c r="AGB13" s="125" t="s">
        <v>1767</v>
      </c>
      <c r="AGC13" s="125" t="s">
        <v>1324</v>
      </c>
      <c r="AGD13" s="94" t="s">
        <v>1450</v>
      </c>
      <c r="AGE13" s="390" t="s">
        <v>1905</v>
      </c>
      <c r="AGF13" s="392"/>
      <c r="AGG13" s="386" t="s">
        <v>1908</v>
      </c>
      <c r="AGH13" s="386"/>
      <c r="AGI13" s="386" t="s">
        <v>1906</v>
      </c>
      <c r="AGJ13" s="386"/>
      <c r="AGK13" s="390" t="s">
        <v>1907</v>
      </c>
      <c r="AGL13" s="392"/>
      <c r="AGM13" s="386" t="s">
        <v>1768</v>
      </c>
      <c r="AGN13" s="386"/>
    </row>
    <row r="14" spans="1:1090" ht="14.25" customHeight="1">
      <c r="P14" s="11"/>
      <c r="Q14" s="11"/>
      <c r="R14" s="11"/>
      <c r="S14" s="11"/>
      <c r="T14" s="11"/>
      <c r="U14" s="11"/>
      <c r="V14" s="11"/>
      <c r="TC14" s="223" t="s">
        <v>163</v>
      </c>
      <c r="TQ14" s="75">
        <f>IFERROR(IF(TQ13="Ítem",1,ROW()-ROW(SolCotizacion!#REF!)),ROW()-ROW(SolCotizacion!#REF!))</f>
        <v>1</v>
      </c>
      <c r="TR14" s="372"/>
      <c r="TS14" s="372"/>
      <c r="TT14" s="393" t="str">
        <f>+IFERROR(VLOOKUP($G14,Cat_Filtro1!$D:$U,MATCH(SolCotizacion!#REF!,Cat_Filtro1!$1:$1,0)-3,FALSE),"")</f>
        <v/>
      </c>
      <c r="TU14" s="393"/>
      <c r="TV14" s="393"/>
      <c r="TW14" s="393"/>
      <c r="TX14" s="393"/>
      <c r="TY14" s="393"/>
      <c r="TZ14" s="372"/>
      <c r="UA14" s="372"/>
      <c r="UB14" s="372"/>
      <c r="UC14" s="372"/>
      <c r="UD14" s="372"/>
      <c r="UE14" s="372"/>
      <c r="UF14" s="126" t="s">
        <v>240</v>
      </c>
      <c r="UG14" s="126" t="s">
        <v>1374</v>
      </c>
      <c r="UH14" s="126"/>
      <c r="UI14" s="372" t="s">
        <v>240</v>
      </c>
      <c r="UJ14" s="372"/>
      <c r="UK14" s="394" t="e">
        <f>+AVERAGEIF(Cat_Filtro1!PS:PS,SolCotizacion!PV14,Cat_Filtro1!PV:PV)</f>
        <v>#DIV/0!</v>
      </c>
      <c r="UL14" s="394"/>
      <c r="UM14" s="395" t="e">
        <f>+UK14/SUM(UK14:UL14)</f>
        <v>#DIV/0!</v>
      </c>
      <c r="UN14" s="395"/>
      <c r="UO14" s="396" t="s">
        <v>102</v>
      </c>
      <c r="UP14" s="396"/>
      <c r="UQ14" s="197"/>
      <c r="UR14" s="197"/>
      <c r="VK14" t="s">
        <v>1393</v>
      </c>
      <c r="ZL14" s="75" t="e">
        <f>IFERROR(IF(ZL13="Ítem",1,ROW()-ROW(SolCotizacion!#REF!)),ROW()-ROW(SolCotizacion!#REF!))</f>
        <v>#REF!</v>
      </c>
      <c r="ZM14" s="455" t="s">
        <v>1468</v>
      </c>
      <c r="ZN14" s="456"/>
      <c r="ZO14" s="456"/>
      <c r="ZP14" s="456"/>
      <c r="ZQ14" s="456"/>
      <c r="ZR14" s="456"/>
      <c r="ZS14" s="456"/>
      <c r="ZT14" s="456"/>
      <c r="ZU14" s="456"/>
      <c r="ZV14" s="456"/>
      <c r="ZW14" s="456"/>
      <c r="ZX14" s="457"/>
      <c r="ZY14" s="455"/>
      <c r="ZZ14" s="456"/>
      <c r="AAA14" s="456"/>
      <c r="AAB14" s="456"/>
      <c r="AAC14" s="456"/>
      <c r="AAD14" s="456"/>
      <c r="AAE14" s="456"/>
      <c r="AAF14" s="456"/>
      <c r="AAG14" s="456"/>
      <c r="AAH14" s="456"/>
      <c r="AAI14" s="456"/>
      <c r="AAJ14" s="456"/>
      <c r="AAK14" s="456"/>
      <c r="AAL14" s="456"/>
      <c r="AAM14" s="457"/>
    </row>
    <row r="15" spans="1:1090">
      <c r="O15" s="11"/>
      <c r="P15" s="11"/>
      <c r="Q15" s="11"/>
      <c r="R15" s="11"/>
      <c r="S15" s="11"/>
      <c r="T15" s="11"/>
      <c r="U15" s="11"/>
      <c r="V15" s="11"/>
      <c r="TC15" s="223"/>
    </row>
    <row r="16" spans="1:1090">
      <c r="TC16" s="223" t="s">
        <v>259</v>
      </c>
      <c r="VK16" t="s">
        <v>1395</v>
      </c>
    </row>
    <row r="17" spans="1:583">
      <c r="TC17" s="223"/>
      <c r="VK17" t="s">
        <v>1396</v>
      </c>
    </row>
    <row r="18" spans="1:583">
      <c r="TC18" s="225" t="s">
        <v>164</v>
      </c>
      <c r="VK18" t="s">
        <v>1397</v>
      </c>
    </row>
    <row r="19" spans="1:583">
      <c r="A19">
        <f>+ROUND(A21,0)</f>
        <v>45</v>
      </c>
      <c r="TC19" s="225"/>
    </row>
    <row r="20" spans="1:583" ht="14.25" customHeight="1">
      <c r="TC20" s="224" t="s">
        <v>165</v>
      </c>
    </row>
    <row r="21" spans="1:583">
      <c r="A21">
        <v>45.384512000000001</v>
      </c>
      <c r="TC21" s="221"/>
    </row>
    <row r="22" spans="1:583">
      <c r="A22">
        <v>12</v>
      </c>
      <c r="TC22" s="225" t="s">
        <v>166</v>
      </c>
    </row>
    <row r="23" spans="1:583">
      <c r="TC23" s="225"/>
    </row>
    <row r="24" spans="1:583">
      <c r="TC24" s="224" t="s">
        <v>167</v>
      </c>
    </row>
    <row r="25" spans="1:583">
      <c r="A25">
        <f>+A22*A21</f>
        <v>544.61414400000001</v>
      </c>
      <c r="TC25" s="221"/>
    </row>
    <row r="26" spans="1:583">
      <c r="A26">
        <f>+A25/A22</f>
        <v>45.384512000000001</v>
      </c>
      <c r="TC26" s="225" t="s">
        <v>1366</v>
      </c>
    </row>
    <row r="27" spans="1:583">
      <c r="TC27" s="281"/>
    </row>
  </sheetData>
  <sheetProtection algorithmName="SHA-512" hashValue="FauMlPpRhkpchlPRBgIWsOgLIAxRVvIgsqfB4IXNVPUPNDd4YGrjJgvuQQUG5xj9W1kIL8Epv8Ncd8wyAKUIxA==" saltValue="UpdvX8iZnwWeTm+Z4csP5w==" spinCount="100000" sheet="1" objects="1" scenarios="1"/>
  <mergeCells count="345">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BZ9:CB9"/>
    <mergeCell ref="BW10:BY10"/>
    <mergeCell ref="BZ10:CB10"/>
    <mergeCell ref="DB9:DD9"/>
    <mergeCell ref="AT9:AV9"/>
    <mergeCell ref="AW9:BB9"/>
    <mergeCell ref="AA9:AC9"/>
    <mergeCell ref="CJ9:CN9"/>
    <mergeCell ref="BW9:BY9"/>
    <mergeCell ref="AL9:AO9"/>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DS10:DU10"/>
    <mergeCell ref="DV10:DX10"/>
    <mergeCell ref="DY10:EA10"/>
    <mergeCell ref="EB10:ED10"/>
    <mergeCell ref="EJ9:EQ9"/>
    <mergeCell ref="EJ10:EQ10"/>
    <mergeCell ref="DS9:DU9"/>
    <mergeCell ref="DV9:DX9"/>
    <mergeCell ref="DY9:EA9"/>
    <mergeCell ref="EB9:ED9"/>
    <mergeCell ref="EE9:EG9"/>
    <mergeCell ref="EE10:EG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R13:TS13"/>
    <mergeCell ref="TT13:TY13"/>
    <mergeCell ref="TZ13:UB13"/>
    <mergeCell ref="UC13:UE13"/>
    <mergeCell ref="UI13:UJ13"/>
    <mergeCell ref="UK13:UL13"/>
    <mergeCell ref="UM13:UN13"/>
    <mergeCell ref="UO13:UP13"/>
    <mergeCell ref="UQ13:UR13"/>
    <mergeCell ref="TR14:TS14"/>
    <mergeCell ref="TT14:TY14"/>
    <mergeCell ref="TZ14:UB14"/>
    <mergeCell ref="UC14:UE14"/>
    <mergeCell ref="UI14:UJ14"/>
    <mergeCell ref="UK14:UL14"/>
    <mergeCell ref="UM14:UN14"/>
    <mergeCell ref="UO14:UP14"/>
    <mergeCell ref="UQ14:UR14"/>
    <mergeCell ref="AFN13:AFO13"/>
    <mergeCell ref="AFP13:AFU13"/>
    <mergeCell ref="AFV13:AFX13"/>
    <mergeCell ref="AFY13:AGA13"/>
    <mergeCell ref="AGE13:AGF13"/>
    <mergeCell ref="AGG13:AGH13"/>
    <mergeCell ref="AGI13:AGJ13"/>
    <mergeCell ref="AGK13:AGL13"/>
    <mergeCell ref="AGM13:AGN13"/>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JSJCUOm50jXXHh6hq31wHxFylvvbB82a3IRnSFQvmlk7DvrLoayvvWU2STFPRBJf2mp7hrIMFsY+zf5Q/26VtA==" saltValue="f1kODIWI8dZyLprraCO+hg=="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D11"/>
  <sheetViews>
    <sheetView workbookViewId="0"/>
  </sheetViews>
  <sheetFormatPr baseColWidth="10" defaultRowHeight="14.25"/>
  <sheetData>
    <row r="1" spans="1:4">
      <c r="A1" t="s">
        <v>3174</v>
      </c>
      <c r="B1" t="s">
        <v>3354</v>
      </c>
      <c r="C1" t="s">
        <v>3356</v>
      </c>
      <c r="D1" t="s">
        <v>3358</v>
      </c>
    </row>
    <row r="2" spans="1:4">
      <c r="A2" t="s">
        <v>8693</v>
      </c>
      <c r="B2" t="s">
        <v>8703</v>
      </c>
      <c r="C2" t="s">
        <v>8703</v>
      </c>
      <c r="D2" t="s">
        <v>8693</v>
      </c>
    </row>
    <row r="3" spans="1:4">
      <c r="A3" t="s">
        <v>8694</v>
      </c>
      <c r="B3" t="s">
        <v>8704</v>
      </c>
      <c r="C3" t="s">
        <v>8706</v>
      </c>
      <c r="D3" t="s">
        <v>8694</v>
      </c>
    </row>
    <row r="4" spans="1:4">
      <c r="A4" t="s">
        <v>8695</v>
      </c>
      <c r="B4" t="s">
        <v>8705</v>
      </c>
      <c r="C4" t="s">
        <v>8707</v>
      </c>
      <c r="D4" t="s">
        <v>8695</v>
      </c>
    </row>
    <row r="5" spans="1:4">
      <c r="A5" t="s">
        <v>8696</v>
      </c>
      <c r="D5" t="s">
        <v>8696</v>
      </c>
    </row>
    <row r="6" spans="1:4">
      <c r="A6" t="s">
        <v>8697</v>
      </c>
      <c r="D6" t="s">
        <v>8697</v>
      </c>
    </row>
    <row r="7" spans="1:4">
      <c r="A7" t="s">
        <v>8698</v>
      </c>
      <c r="D7" t="s">
        <v>8698</v>
      </c>
    </row>
    <row r="8" spans="1:4">
      <c r="A8" t="s">
        <v>8699</v>
      </c>
      <c r="D8" t="s">
        <v>8699</v>
      </c>
    </row>
    <row r="9" spans="1:4">
      <c r="A9" t="s">
        <v>8700</v>
      </c>
      <c r="D9" t="s">
        <v>8700</v>
      </c>
    </row>
    <row r="10" spans="1:4">
      <c r="A10" t="s">
        <v>8701</v>
      </c>
      <c r="D10" t="s">
        <v>8701</v>
      </c>
    </row>
    <row r="11" spans="1:4">
      <c r="A11" t="s">
        <v>8702</v>
      </c>
      <c r="D11" t="s">
        <v>8702</v>
      </c>
    </row>
  </sheetData>
  <sheetProtection algorithmName="SHA-512" hashValue="zsKS4AFLs/5FaGro+BEdvyNu/E7M1Ec3Nl4j2xDM7meewijVKJOD2Vx5TEbp+AtX+se/KQKkeUbxD3occRqPYg==" saltValue="jNzntK7JWomB5HxvBKTF6g=="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12</v>
      </c>
      <c r="G2" t="s">
        <v>1335</v>
      </c>
      <c r="P2" t="s">
        <v>4223</v>
      </c>
      <c r="AF2" t="s">
        <v>171</v>
      </c>
      <c r="AG2" t="s">
        <v>173</v>
      </c>
    </row>
    <row r="3" spans="1:33">
      <c r="A3" t="s">
        <v>3909</v>
      </c>
      <c r="E3" t="s">
        <v>1336</v>
      </c>
      <c r="F3" s="51">
        <f ca="1">+SolCotizacion!$AE$67</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19</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4175</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598</v>
      </c>
    </row>
    <row r="19" spans="1:7">
      <c r="A19" t="s">
        <v>3909</v>
      </c>
      <c r="E19" t="s">
        <v>3929</v>
      </c>
      <c r="F19" s="153">
        <v>598</v>
      </c>
      <c r="G19" t="s">
        <v>3930</v>
      </c>
    </row>
    <row r="20" spans="1:7">
      <c r="A20" t="s">
        <v>3909</v>
      </c>
      <c r="E20" t="s">
        <v>3948</v>
      </c>
      <c r="F20" t="s">
        <v>4043</v>
      </c>
    </row>
    <row r="21" spans="1:7">
      <c r="A21" t="s">
        <v>3909</v>
      </c>
      <c r="E21" t="s">
        <v>4062</v>
      </c>
      <c r="F21" t="s">
        <v>3909</v>
      </c>
    </row>
  </sheetData>
  <sheetProtection algorithmName="SHA-512" hashValue="6EVpSvCty4lGfwUv6VODYW52/Y/rEvWCnNpbOJRjLzTL/7looPmzAoM6iiRgVU0u7Eyo2NocYUAjj41eMjm6mA==" saltValue="lrU9MUUDu4FRjjkl3zMJCg=="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ZXGQJzz0Pzex3a0Im3+TDJcTDfcz4NlT5Nh4i/8uFJXUg87EAHCeDvl0OsCv0gqb9FxiEs9btVpxlVU3AwjwOg==" saltValue="7M2Tt2TgagpWSVxJEE+3/Q=="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67155400</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XrS56DWuxHnQP4GAmT4Q8hFBhNr81Dmv8Ly9TzIk8hqSNwBRJBs/sDmpydbPgFxqlF87p9aszfftVyukB0roiQ==" saltValue="+3s2jlWWEYYsQODeykTSIQ=="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HZMic8FE7YuV3mw5Ig5GRBe54LT17/VU3JkPoUhcS8jBq7tGuWvpcgPB6BSJYf7OQAR4nPjjPGdClJmOGG2SwA==" saltValue="AaEvJJgDbbxO/Bq6yJeYjw=="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RGNEJnpiXq7n6PBUoX6l+3jfPCnnXj2/aITzBhd/y6aIZJTuccTbG/MPeaDde3vP18kRt/B039/jh77xUa3JvQ==" saltValue="NJ2F4YEdAo/xvwew0YidIw=="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DrqGvGINXqQOwIEcaZLx0C44lxb3fVrv3VCbcGFdWreT4lzVcks9chl2o8obhtE5Y3i2dZcdxhM6vY/kQZhRZA==" saltValue="WiHbufbNvbnEj1DsmKcVPg=="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67155400</v>
      </c>
      <c r="CI5" s="96" t="str">
        <f>+SolCotizacion!$X$22</f>
        <v>REGION 5</v>
      </c>
      <c r="CJ5">
        <v>1</v>
      </c>
      <c r="CL5" t="s">
        <v>1440</v>
      </c>
      <c r="CQ5" s="27"/>
      <c r="CS5" s="96" t="e">
        <f>+SolCotizacion!#REF!</f>
        <v>#REF!</v>
      </c>
      <c r="CT5" s="96">
        <f>+SolCotizacion!$AE$22</f>
        <v>67155400</v>
      </c>
      <c r="CU5" s="96" t="str">
        <f>+SolCotizacion!$X$22</f>
        <v>REGION 5</v>
      </c>
      <c r="CV5">
        <v>1</v>
      </c>
      <c r="CX5" t="s">
        <v>1888</v>
      </c>
      <c r="DC5" s="27" t="s">
        <v>1781</v>
      </c>
      <c r="DE5" s="96" t="e">
        <f>+SolCotizacion!#REF!</f>
        <v>#REF!</v>
      </c>
      <c r="DF5" s="96">
        <f>+SolCotizacion!$AE$22</f>
        <v>67155400</v>
      </c>
      <c r="DG5" s="96" t="str">
        <f>+SolCotizacion!$X$22</f>
        <v>REGION 5</v>
      </c>
      <c r="DH5" s="96" t="s">
        <v>1892</v>
      </c>
      <c r="DI5" s="96" t="s">
        <v>1891</v>
      </c>
      <c r="DJ5">
        <v>1</v>
      </c>
      <c r="DL5" t="s">
        <v>1890</v>
      </c>
      <c r="DQ5" t="s">
        <v>4198</v>
      </c>
      <c r="DS5" s="96" t="str">
        <f>"=min03-P57"</f>
        <v>=min03-P57</v>
      </c>
      <c r="DT5" s="96" t="str">
        <f>"=REGION 5"</f>
        <v>=REGION 5</v>
      </c>
      <c r="DU5" s="96" t="s">
        <v>8713</v>
      </c>
      <c r="DV5" s="96" t="s">
        <v>8714</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4175</v>
      </c>
      <c r="DS6" t="str">
        <f>"=min03-P57"</f>
        <v>=min03-P57</v>
      </c>
      <c r="DT6" t="str">
        <f>"=REGION 7"</f>
        <v>=REGION 7</v>
      </c>
      <c r="DU6" t="s">
        <v>8713</v>
      </c>
      <c r="DV6" t="s">
        <v>8714</v>
      </c>
      <c r="DW6">
        <v>1</v>
      </c>
      <c r="EG6" s="25"/>
      <c r="EH6" s="158"/>
    </row>
    <row r="7" spans="1:145">
      <c r="A7" s="25" t="s">
        <v>3109</v>
      </c>
      <c r="J7" t="s">
        <v>4089</v>
      </c>
      <c r="Y7" t="s">
        <v>1772</v>
      </c>
      <c r="AN7" t="s">
        <v>1884</v>
      </c>
      <c r="BA7" t="s">
        <v>1400</v>
      </c>
      <c r="BB7" t="s">
        <v>102</v>
      </c>
      <c r="BC7" t="s">
        <v>1501</v>
      </c>
      <c r="CE7" s="27"/>
      <c r="CQ7" s="27"/>
      <c r="DC7" s="27" t="s">
        <v>1783</v>
      </c>
      <c r="DQ7" t="s">
        <v>4164</v>
      </c>
    </row>
    <row r="8" spans="1:145">
      <c r="A8" s="25" t="s">
        <v>3113</v>
      </c>
      <c r="J8" t="s">
        <v>4090</v>
      </c>
      <c r="Y8" t="s">
        <v>1773</v>
      </c>
      <c r="AN8" t="s">
        <v>1885</v>
      </c>
      <c r="BA8" t="s">
        <v>1400</v>
      </c>
      <c r="BB8" t="s">
        <v>102</v>
      </c>
      <c r="BC8" t="s">
        <v>1559</v>
      </c>
      <c r="CE8" s="27"/>
      <c r="CQ8" s="27"/>
      <c r="DC8" s="27" t="s">
        <v>1784</v>
      </c>
      <c r="DQ8" t="s">
        <v>4188</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3093</v>
      </c>
    </row>
    <row r="10" spans="1:145">
      <c r="A10" s="25" t="s">
        <v>3111</v>
      </c>
      <c r="J10" t="s">
        <v>4068</v>
      </c>
      <c r="Y10" t="s">
        <v>1774</v>
      </c>
      <c r="BA10" t="s">
        <v>1400</v>
      </c>
      <c r="BB10" t="s">
        <v>102</v>
      </c>
      <c r="BC10" t="s">
        <v>1585</v>
      </c>
      <c r="CE10" s="27"/>
      <c r="CQ10" s="27"/>
      <c r="DC10" s="27" t="s">
        <v>1786</v>
      </c>
      <c r="DQ10" t="s">
        <v>3091</v>
      </c>
    </row>
    <row r="11" spans="1:145">
      <c r="A11" s="25" t="s">
        <v>3112</v>
      </c>
      <c r="J11" t="s">
        <v>4092</v>
      </c>
      <c r="Y11" t="s">
        <v>1775</v>
      </c>
      <c r="BA11" t="s">
        <v>1400</v>
      </c>
      <c r="BB11" t="s">
        <v>102</v>
      </c>
      <c r="BC11" t="s">
        <v>1534</v>
      </c>
      <c r="CE11" s="27"/>
      <c r="CQ11" s="27"/>
      <c r="DC11" s="27" t="s">
        <v>1787</v>
      </c>
      <c r="DQ11" t="s">
        <v>3103</v>
      </c>
    </row>
    <row r="12" spans="1:145">
      <c r="A12" s="25"/>
      <c r="J12" t="s">
        <v>4093</v>
      </c>
      <c r="Y12" t="s">
        <v>1829</v>
      </c>
      <c r="CE12" s="27"/>
      <c r="CQ12" s="27"/>
      <c r="DC12" s="27" t="s">
        <v>1788</v>
      </c>
      <c r="DQ12" t="s">
        <v>3094</v>
      </c>
    </row>
    <row r="13" spans="1:145">
      <c r="J13" t="s">
        <v>4094</v>
      </c>
      <c r="Y13" t="s">
        <v>1836</v>
      </c>
      <c r="CE13" s="27"/>
      <c r="CQ13" s="27"/>
      <c r="DC13" s="27" t="s">
        <v>1789</v>
      </c>
      <c r="DQ13" t="s">
        <v>4176</v>
      </c>
    </row>
    <row r="14" spans="1:145">
      <c r="J14" t="s">
        <v>4095</v>
      </c>
      <c r="Y14" t="s">
        <v>1840</v>
      </c>
      <c r="CE14" s="27"/>
      <c r="CQ14" s="27"/>
      <c r="DC14" s="27" t="s">
        <v>1790</v>
      </c>
      <c r="DQ14" t="s">
        <v>3098</v>
      </c>
    </row>
    <row r="15" spans="1:145">
      <c r="J15" t="s">
        <v>4096</v>
      </c>
      <c r="Y15" t="s">
        <v>1841</v>
      </c>
      <c r="CE15" s="27"/>
      <c r="CQ15" s="27"/>
      <c r="DC15" s="27" t="s">
        <v>1791</v>
      </c>
      <c r="DQ15" t="s">
        <v>4197</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AXj8CGMo8vB/QL0lF7t2l6jNFB9njAPeMQ1V/nPfvkHyx7PbkNi7bzyXwCs+xbxOI2uqnzfbcj2XyWhf/5DVIw==" saltValue="1H5cVvotZGS1l8zL6/SPFQ=="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4"/>
  <sheetViews>
    <sheetView showGridLines="0" zoomScale="85" zoomScaleNormal="85" workbookViewId="0">
      <pane xSplit="5" ySplit="9" topLeftCell="F24" activePane="bottomRight" state="frozen"/>
      <selection activeCell="B1" sqref="B1"/>
      <selection pane="topRight" activeCell="F1" sqref="F1"/>
      <selection pane="bottomLeft" activeCell="B10" sqref="B10"/>
      <selection pane="bottomRight" activeCell="AM58" sqref="AM58"/>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45" t="s">
        <v>1387</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L1" s="33"/>
    </row>
    <row r="2" spans="1:38" ht="14.25" customHeight="1">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8" ht="14.25" customHeight="1">
      <c r="A3" s="62"/>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8" ht="14.25" customHeight="1">
      <c r="A4" s="63" t="s">
        <v>3949</v>
      </c>
      <c r="B4" s="32">
        <v>1</v>
      </c>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8" ht="13.9" hidden="1" customHeight="1">
      <c r="A5" s="217" t="s">
        <v>170</v>
      </c>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8" ht="14.25" customHeight="1">
      <c r="A6" s="218"/>
    </row>
    <row r="7" spans="1:38" ht="14.25" hidden="1" customHeight="1">
      <c r="A7" s="219"/>
    </row>
    <row r="8" spans="1:38" ht="14.25" hidden="1" customHeight="1">
      <c r="A8" s="220" t="s">
        <v>162</v>
      </c>
    </row>
    <row r="9" spans="1:38" ht="14.25" hidden="1" customHeight="1">
      <c r="A9" s="221"/>
    </row>
    <row r="10" spans="1:38" ht="27.95" customHeight="1">
      <c r="A10" s="222" t="s">
        <v>163</v>
      </c>
      <c r="F10" s="231" t="s">
        <v>105</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8" ht="4.5" customHeight="1">
      <c r="A11" s="222"/>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23" t="s">
        <v>259</v>
      </c>
      <c r="F12" s="205" t="s">
        <v>106</v>
      </c>
      <c r="G12" s="206"/>
      <c r="H12" s="206"/>
      <c r="I12" s="206"/>
      <c r="J12" s="207"/>
      <c r="K12" s="213" t="s">
        <v>8688</v>
      </c>
      <c r="L12" s="214"/>
      <c r="M12" s="214"/>
      <c r="N12" s="214"/>
      <c r="O12" s="214"/>
      <c r="P12" s="214"/>
      <c r="Q12" s="214"/>
      <c r="R12" s="214"/>
      <c r="S12" s="214"/>
      <c r="T12" s="203" t="s">
        <v>107</v>
      </c>
      <c r="U12" s="204"/>
      <c r="V12" s="204"/>
      <c r="W12" s="204"/>
      <c r="X12" s="204"/>
      <c r="Y12" s="248">
        <v>800130690</v>
      </c>
      <c r="Z12" s="248"/>
      <c r="AA12" s="248"/>
      <c r="AB12" s="248"/>
      <c r="AC12" s="248"/>
      <c r="AD12" s="248"/>
      <c r="AE12" s="248"/>
      <c r="AF12" s="248"/>
      <c r="AG12" s="248"/>
    </row>
    <row r="13" spans="1:38" ht="3.75" customHeight="1">
      <c r="A13" s="223"/>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25" t="s">
        <v>164</v>
      </c>
      <c r="F14" s="205" t="s">
        <v>108</v>
      </c>
      <c r="G14" s="206"/>
      <c r="H14" s="206"/>
      <c r="I14" s="206"/>
      <c r="J14" s="207"/>
      <c r="K14" s="213" t="s">
        <v>8689</v>
      </c>
      <c r="L14" s="214"/>
      <c r="M14" s="214"/>
      <c r="N14" s="214"/>
      <c r="O14" s="214"/>
      <c r="P14" s="214"/>
      <c r="Q14" s="214"/>
      <c r="R14" s="214"/>
      <c r="S14" s="214"/>
      <c r="T14" s="205" t="s">
        <v>156</v>
      </c>
      <c r="U14" s="206"/>
      <c r="V14" s="206"/>
      <c r="W14" s="206"/>
      <c r="X14" s="206"/>
      <c r="Y14" s="249" t="s">
        <v>2866</v>
      </c>
      <c r="Z14" s="249"/>
      <c r="AA14" s="249"/>
      <c r="AB14" s="249"/>
      <c r="AC14" s="249"/>
      <c r="AD14" s="249"/>
      <c r="AE14" s="249"/>
      <c r="AF14" s="249"/>
      <c r="AG14" s="249"/>
    </row>
    <row r="15" spans="1:38" ht="2.25" customHeight="1">
      <c r="A15" s="225"/>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24" t="s">
        <v>165</v>
      </c>
      <c r="F16" s="203" t="s">
        <v>110</v>
      </c>
      <c r="G16" s="204"/>
      <c r="H16" s="204"/>
      <c r="I16" s="204"/>
      <c r="J16" s="204"/>
      <c r="K16" s="213" t="s">
        <v>8690</v>
      </c>
      <c r="L16" s="214"/>
      <c r="M16" s="214"/>
      <c r="N16" s="214"/>
      <c r="O16" s="214"/>
      <c r="P16" s="214"/>
      <c r="Q16" s="214"/>
      <c r="R16" s="214"/>
      <c r="S16" s="214"/>
      <c r="T16" s="215" t="s">
        <v>109</v>
      </c>
      <c r="U16" s="216"/>
      <c r="V16" s="216"/>
      <c r="W16" s="216"/>
      <c r="X16" s="216"/>
      <c r="Y16" s="248">
        <v>3234801420</v>
      </c>
      <c r="Z16" s="248"/>
      <c r="AA16" s="248"/>
      <c r="AB16" s="248"/>
      <c r="AC16" s="248"/>
      <c r="AD16" s="248"/>
      <c r="AE16" s="248"/>
      <c r="AF16" s="248"/>
      <c r="AG16" s="248"/>
    </row>
    <row r="17" spans="1:49" ht="3" customHeight="1">
      <c r="A17" s="221"/>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25" t="s">
        <v>166</v>
      </c>
      <c r="B18" s="71"/>
      <c r="F18" s="211" t="s">
        <v>111</v>
      </c>
      <c r="G18" s="212"/>
      <c r="H18" s="212"/>
      <c r="I18" s="212"/>
      <c r="J18" s="212"/>
      <c r="K18" s="208" t="s">
        <v>8691</v>
      </c>
      <c r="L18" s="209"/>
      <c r="M18" s="209"/>
      <c r="N18" s="209"/>
      <c r="O18" s="209"/>
      <c r="P18" s="209"/>
      <c r="Q18" s="209"/>
      <c r="R18" s="209"/>
      <c r="S18" s="210"/>
      <c r="T18"/>
      <c r="U18"/>
      <c r="V18"/>
      <c r="W18"/>
      <c r="X18"/>
      <c r="Y18"/>
      <c r="Z18"/>
      <c r="AA18"/>
      <c r="AB18"/>
      <c r="AC18"/>
      <c r="AD18"/>
      <c r="AE18"/>
      <c r="AF18"/>
      <c r="AG18"/>
      <c r="AH18"/>
      <c r="AI18"/>
      <c r="AJ18"/>
      <c r="AK18"/>
      <c r="AQ18"/>
      <c r="AR18"/>
      <c r="AS18"/>
      <c r="AT18"/>
      <c r="AU18"/>
      <c r="AV18"/>
      <c r="AW18"/>
    </row>
    <row r="19" spans="1:49" ht="9.75" customHeight="1">
      <c r="A19" s="225"/>
    </row>
    <row r="20" spans="1:49" ht="27.95" customHeight="1">
      <c r="A20" s="224" t="s">
        <v>167</v>
      </c>
      <c r="F20" s="231" t="s">
        <v>3125</v>
      </c>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row>
    <row r="21" spans="1:49" ht="4.5" customHeight="1">
      <c r="A21" s="221"/>
      <c r="F21"/>
      <c r="G21"/>
      <c r="H21"/>
      <c r="I21"/>
      <c r="J21"/>
    </row>
    <row r="22" spans="1:49" ht="13.9" customHeight="1">
      <c r="A22" s="225" t="s">
        <v>1366</v>
      </c>
      <c r="B22" s="69"/>
      <c r="C22" s="16"/>
      <c r="D22" s="16"/>
      <c r="F22" s="252" t="s">
        <v>3126</v>
      </c>
      <c r="G22" s="253"/>
      <c r="H22" s="254"/>
      <c r="I22" s="258" t="s">
        <v>8692</v>
      </c>
      <c r="J22" s="259"/>
      <c r="K22" s="259"/>
      <c r="L22" s="260"/>
      <c r="M22" s="17"/>
      <c r="N22" s="252" t="s">
        <v>3918</v>
      </c>
      <c r="O22" s="253"/>
      <c r="P22" s="254"/>
      <c r="Q22" s="258" t="s">
        <v>240</v>
      </c>
      <c r="R22" s="259"/>
      <c r="S22" s="260"/>
      <c r="T22" s="17"/>
      <c r="U22" s="252" t="s">
        <v>276</v>
      </c>
      <c r="V22" s="253"/>
      <c r="W22" s="254"/>
      <c r="X22" s="258" t="s">
        <v>3110</v>
      </c>
      <c r="Y22" s="259"/>
      <c r="Z22" s="260"/>
      <c r="AA22" s="17"/>
      <c r="AB22" s="252" t="s">
        <v>112</v>
      </c>
      <c r="AC22" s="253"/>
      <c r="AD22" s="254"/>
      <c r="AE22" s="264">
        <v>67155400</v>
      </c>
      <c r="AF22" s="265"/>
      <c r="AG22" s="266"/>
    </row>
    <row r="23" spans="1:49" ht="14.25" customHeight="1">
      <c r="A23" s="281"/>
      <c r="F23" s="255"/>
      <c r="G23" s="256"/>
      <c r="H23" s="257"/>
      <c r="I23" s="261"/>
      <c r="J23" s="262"/>
      <c r="K23" s="262"/>
      <c r="L23" s="263"/>
      <c r="M23" s="17"/>
      <c r="N23" s="255"/>
      <c r="O23" s="256"/>
      <c r="P23" s="257"/>
      <c r="Q23" s="261"/>
      <c r="R23" s="262"/>
      <c r="S23" s="263"/>
      <c r="T23" s="17"/>
      <c r="U23" s="255"/>
      <c r="V23" s="256"/>
      <c r="W23" s="257"/>
      <c r="X23" s="261"/>
      <c r="Y23" s="262"/>
      <c r="Z23" s="263"/>
      <c r="AA23" s="17"/>
      <c r="AB23" s="255"/>
      <c r="AC23" s="256"/>
      <c r="AD23" s="257"/>
      <c r="AE23" s="267"/>
      <c r="AF23" s="268"/>
      <c r="AG23" s="269"/>
    </row>
    <row r="24" spans="1:49" ht="20.25" customHeight="1">
      <c r="A24" s="271"/>
    </row>
    <row r="25" spans="1:49" ht="14.25" hidden="1" customHeight="1">
      <c r="A25" s="271"/>
      <c r="F25" s="272"/>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4"/>
    </row>
    <row r="26" spans="1:49" ht="14.25" hidden="1" customHeight="1">
      <c r="A26" s="282"/>
      <c r="F26"/>
      <c r="G26"/>
      <c r="H26"/>
      <c r="I26"/>
      <c r="J26"/>
    </row>
    <row r="27" spans="1:49" ht="14.25" hidden="1" customHeight="1">
      <c r="A27" s="282"/>
    </row>
    <row r="28" spans="1:49" ht="14.25" customHeight="1">
      <c r="A28" s="103"/>
      <c r="F28" s="252" t="s">
        <v>4086</v>
      </c>
      <c r="G28" s="253"/>
      <c r="H28" s="254"/>
      <c r="I28" s="270" t="s">
        <v>4142</v>
      </c>
      <c r="J28" s="270"/>
      <c r="K28" s="270"/>
      <c r="L28" s="275" t="str">
        <f>+IFERROR(VLOOKUP(I28,Cat_precios!B:M,12,FALSE),"")</f>
        <v>SOBRECARPA_según NTMD vigente</v>
      </c>
      <c r="M28" s="276"/>
      <c r="N28" s="276"/>
      <c r="O28" s="276"/>
      <c r="P28" s="276"/>
      <c r="Q28" s="276"/>
      <c r="R28" s="276"/>
      <c r="S28" s="276"/>
      <c r="T28" s="276"/>
      <c r="U28" s="276"/>
      <c r="V28" s="276"/>
      <c r="W28" s="276"/>
      <c r="X28" s="276"/>
      <c r="Y28" s="276"/>
      <c r="Z28" s="276"/>
      <c r="AA28" s="276"/>
      <c r="AB28" s="276"/>
      <c r="AC28" s="276"/>
      <c r="AD28" s="276"/>
      <c r="AE28" s="276"/>
      <c r="AF28" s="276"/>
      <c r="AG28" s="277"/>
    </row>
    <row r="29" spans="1:49" ht="14.25" customHeight="1">
      <c r="A29" s="103"/>
      <c r="F29" s="255"/>
      <c r="G29" s="256"/>
      <c r="H29" s="257"/>
      <c r="I29" s="270"/>
      <c r="J29" s="270"/>
      <c r="K29" s="270"/>
      <c r="L29" s="278"/>
      <c r="M29" s="279"/>
      <c r="N29" s="279"/>
      <c r="O29" s="279"/>
      <c r="P29" s="279"/>
      <c r="Q29" s="279"/>
      <c r="R29" s="279"/>
      <c r="S29" s="279"/>
      <c r="T29" s="279"/>
      <c r="U29" s="279"/>
      <c r="V29" s="279"/>
      <c r="W29" s="279"/>
      <c r="X29" s="279"/>
      <c r="Y29" s="279"/>
      <c r="Z29" s="279"/>
      <c r="AA29" s="279"/>
      <c r="AB29" s="279"/>
      <c r="AC29" s="279"/>
      <c r="AD29" s="279"/>
      <c r="AE29" s="279"/>
      <c r="AF29" s="279"/>
      <c r="AG29" s="280"/>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01" t="str">
        <f>+IF(Desplegable_prod!$A$1&lt;&gt;"",Desplegable_prod!$A$1,"")</f>
        <v>Color</v>
      </c>
      <c r="H33" s="201"/>
      <c r="I33" s="201"/>
      <c r="J33" s="201" t="str">
        <f>+IF(Desplegable_prod!$B$1&lt;&gt;"",Desplegable_prod!$B$1,"")</f>
        <v xml:space="preserve">Argollas Triangulares </v>
      </c>
      <c r="K33" s="201"/>
      <c r="L33" s="201"/>
      <c r="M33" s="201" t="str">
        <f>+IF(Desplegable_prod!$C$1&lt;&gt;"",Desplegable_prod!$C$1,"")</f>
        <v>Estacas varilla redonda lisa de hierro HR</v>
      </c>
      <c r="N33" s="201"/>
      <c r="O33" s="201"/>
      <c r="P33" s="201" t="str">
        <f>+IF(Desplegable_prod!$D$1&lt;&gt;"",Desplegable_prod!$D$1,"")</f>
        <v>Color de hilo, cremallera, reata de las chapetas y cordones</v>
      </c>
      <c r="Q33" s="201"/>
      <c r="R33" s="201"/>
      <c r="S33" s="195" t="s">
        <v>159</v>
      </c>
      <c r="T33" s="196"/>
      <c r="U33" s="196"/>
    </row>
    <row r="34" spans="1:36" ht="45" customHeight="1">
      <c r="A34" s="103"/>
      <c r="F34" s="75">
        <f>IFERROR(IF(F33="Ítem",1,ROW()-ROW(SolCotizacion!$F$28)-5),"error")</f>
        <v>1</v>
      </c>
      <c r="G34" s="202" t="s">
        <v>8700</v>
      </c>
      <c r="H34" s="202"/>
      <c r="I34" s="202"/>
      <c r="J34" s="202" t="s">
        <v>8703</v>
      </c>
      <c r="K34" s="202"/>
      <c r="L34" s="202"/>
      <c r="M34" s="202" t="s">
        <v>8703</v>
      </c>
      <c r="N34" s="202"/>
      <c r="O34" s="202"/>
      <c r="P34" s="202" t="s">
        <v>8700</v>
      </c>
      <c r="Q34" s="202"/>
      <c r="R34" s="202"/>
      <c r="S34" s="197">
        <v>598</v>
      </c>
      <c r="T34" s="197"/>
      <c r="U34" s="197"/>
    </row>
    <row r="35" spans="1:36" ht="6.75" customHeight="1"/>
    <row r="36" spans="1:36" ht="14.25" customHeight="1">
      <c r="F36" s="283"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36" s="283"/>
      <c r="H36" s="283"/>
      <c r="I36" s="283"/>
      <c r="J36" s="283"/>
      <c r="K36" s="283"/>
      <c r="L36" s="283"/>
      <c r="M36" s="283"/>
      <c r="N36" s="283"/>
      <c r="O36" s="283"/>
      <c r="P36" s="283"/>
      <c r="Q36" s="283"/>
      <c r="R36" s="283"/>
      <c r="S36" s="283"/>
      <c r="T36" s="283"/>
      <c r="U36" s="283"/>
      <c r="V36" s="283"/>
      <c r="W36" s="283"/>
      <c r="X36" s="283"/>
    </row>
    <row r="37" spans="1:36" ht="14.25" customHeight="1">
      <c r="F37" s="149"/>
      <c r="G37" s="149"/>
      <c r="H37" s="149"/>
      <c r="I37" s="149"/>
      <c r="J37" s="149"/>
      <c r="K37" s="149"/>
      <c r="L37" s="149"/>
      <c r="M37" s="149"/>
      <c r="N37" s="149"/>
      <c r="O37" s="149"/>
      <c r="P37" s="149"/>
      <c r="Q37" s="149"/>
      <c r="R37" s="149"/>
      <c r="S37" s="149"/>
      <c r="T37" s="149"/>
      <c r="U37" s="149"/>
      <c r="V37" s="149"/>
      <c r="W37" s="149"/>
      <c r="X37" s="149"/>
    </row>
    <row r="38" spans="1:36">
      <c r="G38" s="237" t="s">
        <v>3906</v>
      </c>
      <c r="H38" s="237"/>
      <c r="I38" s="237"/>
      <c r="J38" s="237"/>
      <c r="K38" s="237"/>
      <c r="L38" s="237"/>
    </row>
    <row r="39" spans="1:36">
      <c r="G39" s="238">
        <v>1</v>
      </c>
      <c r="H39" s="239"/>
      <c r="I39" s="239"/>
      <c r="J39" s="239"/>
      <c r="K39" s="239"/>
      <c r="L39" s="240"/>
    </row>
    <row r="40" spans="1:36">
      <c r="G40"/>
      <c r="H40"/>
      <c r="I40"/>
      <c r="J40"/>
    </row>
    <row r="41" spans="1:36" s="32" customFormat="1">
      <c r="A41" s="163"/>
      <c r="B41" s="32" t="s">
        <v>3910</v>
      </c>
      <c r="F41" s="164" t="s">
        <v>120</v>
      </c>
      <c r="G41" s="32" t="s">
        <v>120</v>
      </c>
      <c r="H41" s="32" t="s">
        <v>120</v>
      </c>
      <c r="I41" s="32" t="s">
        <v>120</v>
      </c>
      <c r="J41" s="32" t="s">
        <v>120</v>
      </c>
      <c r="K41" s="32" t="s">
        <v>120</v>
      </c>
      <c r="L41" s="32" t="s">
        <v>120</v>
      </c>
      <c r="M41" s="32" t="s">
        <v>120</v>
      </c>
      <c r="N41" s="32" t="s">
        <v>120</v>
      </c>
      <c r="O41" s="32" t="s">
        <v>120</v>
      </c>
      <c r="P41" s="32" t="s">
        <v>120</v>
      </c>
      <c r="Q41" s="32" t="s">
        <v>120</v>
      </c>
      <c r="R41" s="32" t="s">
        <v>120</v>
      </c>
      <c r="S41" s="32" t="s">
        <v>120</v>
      </c>
      <c r="T41" s="32" t="s">
        <v>120</v>
      </c>
      <c r="U41" s="32" t="s">
        <v>120</v>
      </c>
      <c r="V41" s="32" t="s">
        <v>120</v>
      </c>
      <c r="W41" s="32" t="s">
        <v>120</v>
      </c>
      <c r="X41" s="32" t="s">
        <v>120</v>
      </c>
      <c r="Y41" s="32" t="s">
        <v>120</v>
      </c>
      <c r="Z41" s="32" t="s">
        <v>120</v>
      </c>
      <c r="AA41" s="32" t="s">
        <v>120</v>
      </c>
      <c r="AB41" s="32" t="s">
        <v>120</v>
      </c>
      <c r="AC41" s="32" t="s">
        <v>120</v>
      </c>
      <c r="AD41" s="32" t="s">
        <v>120</v>
      </c>
      <c r="AE41" s="32" t="s">
        <v>120</v>
      </c>
      <c r="AF41" s="32" t="s">
        <v>120</v>
      </c>
      <c r="AG41" s="32" t="s">
        <v>120</v>
      </c>
      <c r="AJ41" s="44"/>
    </row>
    <row r="42" spans="1:36" ht="21" customHeight="1">
      <c r="F42" s="284" t="s">
        <v>4070</v>
      </c>
      <c r="G42" s="284"/>
      <c r="H42" s="284"/>
      <c r="I42" s="284"/>
      <c r="J42" s="284"/>
      <c r="K42" s="284"/>
      <c r="L42" s="284"/>
      <c r="M42" s="284"/>
      <c r="N42" s="284"/>
      <c r="O42" s="291" t="s">
        <v>1311</v>
      </c>
      <c r="P42" s="291"/>
      <c r="Q42" s="291"/>
      <c r="R42" s="291"/>
      <c r="S42" s="291"/>
      <c r="T42" s="291"/>
      <c r="U42" s="291"/>
      <c r="V42" s="291"/>
      <c r="W42" s="291"/>
      <c r="X42" s="291"/>
      <c r="Y42" s="291"/>
      <c r="Z42" s="291"/>
      <c r="AA42" s="291"/>
      <c r="AB42" s="291"/>
      <c r="AC42" s="291"/>
      <c r="AD42" s="291"/>
      <c r="AE42" s="291"/>
      <c r="AF42" s="291"/>
      <c r="AG42" s="291"/>
    </row>
    <row r="43" spans="1:36" ht="27.95" customHeight="1">
      <c r="F43" s="284" t="s">
        <v>3907</v>
      </c>
      <c r="G43" s="284"/>
      <c r="H43" s="284"/>
      <c r="I43" s="284"/>
      <c r="J43" s="284"/>
      <c r="K43" s="284"/>
      <c r="L43" s="284"/>
      <c r="M43" s="284"/>
      <c r="N43" s="284"/>
      <c r="O43" s="291" t="s">
        <v>8708</v>
      </c>
      <c r="P43" s="291"/>
      <c r="Q43" s="291"/>
      <c r="R43" s="291"/>
      <c r="S43" s="291"/>
      <c r="T43" s="291"/>
      <c r="U43" s="291"/>
      <c r="V43" s="291"/>
      <c r="W43" s="291"/>
      <c r="X43" s="291"/>
      <c r="Y43" s="291"/>
      <c r="Z43" s="291"/>
      <c r="AA43" s="291"/>
      <c r="AB43" s="291"/>
      <c r="AC43" s="291"/>
      <c r="AD43" s="291"/>
      <c r="AE43" s="291"/>
      <c r="AF43" s="291"/>
      <c r="AG43" s="291"/>
    </row>
    <row r="44" spans="1:36" ht="21" customHeight="1">
      <c r="F44" s="284" t="s">
        <v>3284</v>
      </c>
      <c r="G44" s="284"/>
      <c r="H44" s="284"/>
      <c r="I44" s="284"/>
      <c r="J44" s="284"/>
      <c r="K44" s="284"/>
      <c r="L44" s="284"/>
      <c r="M44" s="284"/>
      <c r="N44" s="284"/>
      <c r="O44" s="287" t="s">
        <v>8708</v>
      </c>
      <c r="P44" s="287"/>
      <c r="Q44" s="287"/>
      <c r="R44" s="287"/>
      <c r="S44" s="287"/>
      <c r="T44" s="287"/>
      <c r="U44" s="287"/>
      <c r="V44" s="287"/>
      <c r="W44" s="287"/>
      <c r="X44" s="287"/>
      <c r="Y44" s="287"/>
      <c r="Z44" s="287"/>
      <c r="AA44" s="287"/>
      <c r="AB44" s="287"/>
      <c r="AC44" s="287"/>
      <c r="AD44" s="287"/>
      <c r="AE44" s="287"/>
      <c r="AF44" s="287"/>
      <c r="AG44" s="287"/>
    </row>
    <row r="45" spans="1:36" ht="21" customHeight="1">
      <c r="F45" s="285" t="s">
        <v>3908</v>
      </c>
      <c r="G45" s="285"/>
      <c r="H45" s="285"/>
      <c r="I45" s="285"/>
      <c r="J45" s="285"/>
      <c r="K45" s="285"/>
      <c r="L45" s="285"/>
      <c r="M45" s="285"/>
      <c r="N45" s="286"/>
      <c r="O45" s="288" t="s">
        <v>8708</v>
      </c>
      <c r="P45" s="289"/>
      <c r="Q45" s="289"/>
      <c r="R45" s="289"/>
      <c r="S45" s="289"/>
      <c r="T45" s="289"/>
      <c r="U45" s="289"/>
      <c r="V45" s="289"/>
      <c r="W45" s="289"/>
      <c r="X45" s="289"/>
      <c r="Y45" s="289"/>
      <c r="Z45" s="289"/>
      <c r="AA45" s="289"/>
      <c r="AB45" s="289"/>
      <c r="AC45" s="289"/>
      <c r="AD45" s="289"/>
      <c r="AE45" s="289"/>
      <c r="AF45" s="289"/>
      <c r="AG45" s="290"/>
    </row>
    <row r="46" spans="1:36" ht="14.25" hidden="1" customHeight="1">
      <c r="A46"/>
      <c r="B46"/>
      <c r="F46"/>
      <c r="G46"/>
      <c r="H46"/>
      <c r="I46"/>
      <c r="J46"/>
    </row>
    <row r="47" spans="1:36" ht="30.75" customHeight="1">
      <c r="F47" s="226" t="s">
        <v>4071</v>
      </c>
      <c r="G47" s="226"/>
      <c r="H47" s="226"/>
      <c r="I47" s="226"/>
      <c r="J47" s="226"/>
      <c r="K47" s="226"/>
      <c r="L47" s="226"/>
      <c r="M47" s="226"/>
      <c r="N47" s="226"/>
      <c r="O47" s="227"/>
      <c r="P47" s="226"/>
      <c r="Q47" s="226"/>
      <c r="R47" s="226"/>
      <c r="S47" s="226"/>
      <c r="T47" s="226"/>
      <c r="U47" s="226"/>
      <c r="V47" s="226"/>
      <c r="W47" s="226"/>
      <c r="X47" s="226"/>
      <c r="Y47" s="226"/>
      <c r="Z47" s="226"/>
      <c r="AA47" s="226"/>
      <c r="AB47" s="226"/>
      <c r="AC47" s="226"/>
      <c r="AD47" s="226"/>
      <c r="AE47" s="226"/>
      <c r="AF47" s="226"/>
      <c r="AG47" s="226"/>
    </row>
    <row r="48" spans="1:3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row>
    <row r="49" spans="2:33">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row>
    <row r="50" spans="2:33" ht="27.95" customHeight="1">
      <c r="F50" s="231" t="s">
        <v>3119</v>
      </c>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row>
    <row r="51" spans="2:33">
      <c r="F51"/>
      <c r="G51"/>
      <c r="H51"/>
      <c r="I51"/>
      <c r="J51"/>
    </row>
    <row r="52" spans="2:33" ht="24" customHeight="1">
      <c r="B52" s="32" t="s">
        <v>3904</v>
      </c>
      <c r="F52" s="232" t="s">
        <v>3120</v>
      </c>
      <c r="G52" s="233"/>
      <c r="H52" s="234" t="s">
        <v>3121</v>
      </c>
      <c r="I52" s="235"/>
      <c r="J52" s="235"/>
      <c r="K52" s="228" t="s">
        <v>1</v>
      </c>
      <c r="L52" s="229"/>
      <c r="M52" s="229"/>
      <c r="N52" s="229"/>
      <c r="O52" s="230"/>
      <c r="P52" s="228" t="s">
        <v>3123</v>
      </c>
      <c r="Q52" s="229"/>
      <c r="R52" s="229"/>
      <c r="S52" s="229"/>
      <c r="T52" s="229"/>
      <c r="U52" s="230"/>
      <c r="V52" s="228" t="s">
        <v>3122</v>
      </c>
      <c r="W52" s="229"/>
      <c r="X52" s="229"/>
      <c r="Y52" s="229"/>
      <c r="Z52" s="229"/>
      <c r="AA52" s="229"/>
      <c r="AB52" s="229"/>
      <c r="AC52" s="229"/>
      <c r="AD52" s="229"/>
      <c r="AE52" s="230"/>
      <c r="AF52" s="228" t="s">
        <v>159</v>
      </c>
      <c r="AG52" s="229"/>
    </row>
    <row r="53" spans="2:33">
      <c r="F53" s="198">
        <f>+IF(F52="No. de entrega",1,F52+1)</f>
        <v>1</v>
      </c>
      <c r="G53" s="199"/>
      <c r="H53" s="200">
        <v>46219</v>
      </c>
      <c r="I53" s="200"/>
      <c r="J53" s="200"/>
      <c r="K53" s="191" t="s">
        <v>1778</v>
      </c>
      <c r="L53" s="191"/>
      <c r="M53" s="191"/>
      <c r="N53" s="191"/>
      <c r="O53" s="191"/>
      <c r="P53" s="191" t="s">
        <v>1260</v>
      </c>
      <c r="Q53" s="191"/>
      <c r="R53" s="191"/>
      <c r="S53" s="191"/>
      <c r="T53" s="191"/>
      <c r="U53" s="191"/>
      <c r="V53" s="191" t="s">
        <v>8709</v>
      </c>
      <c r="W53" s="191"/>
      <c r="X53" s="191"/>
      <c r="Y53" s="191"/>
      <c r="Z53" s="191"/>
      <c r="AA53" s="191"/>
      <c r="AB53" s="191"/>
      <c r="AC53" s="191"/>
      <c r="AD53" s="191"/>
      <c r="AE53" s="191"/>
      <c r="AF53" s="192">
        <v>100</v>
      </c>
      <c r="AG53" s="192"/>
    </row>
    <row r="54" spans="2:33">
      <c r="F54" s="198">
        <f>+IF(F53="No. de entrega",1,F53+1)</f>
        <v>2</v>
      </c>
      <c r="G54" s="199"/>
      <c r="H54" s="200">
        <v>46219</v>
      </c>
      <c r="I54" s="200"/>
      <c r="J54" s="200"/>
      <c r="K54" s="191" t="s">
        <v>1778</v>
      </c>
      <c r="L54" s="191"/>
      <c r="M54" s="191"/>
      <c r="N54" s="191"/>
      <c r="O54" s="191"/>
      <c r="P54" s="191" t="s">
        <v>1260</v>
      </c>
      <c r="Q54" s="191"/>
      <c r="R54" s="191"/>
      <c r="S54" s="191"/>
      <c r="T54" s="191"/>
      <c r="U54" s="191"/>
      <c r="V54" s="191" t="s">
        <v>8710</v>
      </c>
      <c r="W54" s="191"/>
      <c r="X54" s="191"/>
      <c r="Y54" s="191"/>
      <c r="Z54" s="191"/>
      <c r="AA54" s="191"/>
      <c r="AB54" s="191"/>
      <c r="AC54" s="191"/>
      <c r="AD54" s="191"/>
      <c r="AE54" s="191"/>
      <c r="AF54" s="192">
        <v>498</v>
      </c>
      <c r="AG54" s="192"/>
    </row>
    <row r="55" spans="2:33" ht="6.75" customHeight="1">
      <c r="G55"/>
      <c r="H55"/>
      <c r="I55"/>
      <c r="J55"/>
    </row>
    <row r="56" spans="2:33">
      <c r="F56" s="150" t="s">
        <v>3124</v>
      </c>
      <c r="G56" s="137"/>
      <c r="H56" s="137"/>
      <c r="I56" s="138"/>
      <c r="J56" s="138"/>
      <c r="K56" s="138"/>
      <c r="L56" s="138"/>
      <c r="M56" s="138"/>
      <c r="N56" s="138"/>
      <c r="O56" s="138"/>
      <c r="P56" s="139"/>
    </row>
    <row r="57" spans="2:33">
      <c r="G57"/>
      <c r="H57"/>
      <c r="I57"/>
      <c r="J57"/>
    </row>
    <row r="58" spans="2:33">
      <c r="G58" s="237" t="s">
        <v>3905</v>
      </c>
      <c r="H58" s="237"/>
      <c r="I58" s="237"/>
      <c r="J58" s="237"/>
      <c r="K58" s="237"/>
      <c r="L58" s="237"/>
    </row>
    <row r="59" spans="2:33">
      <c r="G59" s="238">
        <v>1</v>
      </c>
      <c r="H59" s="239"/>
      <c r="I59" s="239"/>
      <c r="J59" s="239"/>
      <c r="K59" s="239"/>
      <c r="L59" s="240"/>
    </row>
    <row r="60" spans="2:33">
      <c r="G60"/>
      <c r="H60"/>
      <c r="I60"/>
      <c r="J60"/>
    </row>
    <row r="61" spans="2:33">
      <c r="G61"/>
      <c r="H61"/>
      <c r="I61"/>
      <c r="J61"/>
    </row>
    <row r="62" spans="2:33" ht="27.95" customHeight="1">
      <c r="F62" s="231" t="s">
        <v>125</v>
      </c>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row>
    <row r="63" spans="2:33">
      <c r="F63" s="21"/>
      <c r="G63" s="21"/>
      <c r="H63" s="21"/>
      <c r="I63" s="21"/>
      <c r="J63" s="21"/>
      <c r="K63" s="21"/>
      <c r="L63" s="21"/>
      <c r="M63" s="21"/>
      <c r="N63" s="22"/>
      <c r="O63" s="22"/>
      <c r="P63" s="22"/>
      <c r="Q63" s="22"/>
    </row>
    <row r="64" spans="2:33">
      <c r="B64" s="32" t="s">
        <v>124</v>
      </c>
      <c r="F64" s="59" t="s">
        <v>126</v>
      </c>
      <c r="G64" s="243" t="s">
        <v>1373</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01" t="s">
        <v>127</v>
      </c>
      <c r="AF64" s="201"/>
      <c r="AG64" s="201"/>
    </row>
    <row r="65" spans="2:33">
      <c r="F65" s="24">
        <f>+IF(F64="No",1,F64+1)</f>
        <v>1</v>
      </c>
      <c r="G65" s="193" t="s">
        <v>8711</v>
      </c>
      <c r="H65" s="193"/>
      <c r="I65" s="193"/>
      <c r="J65" s="193"/>
      <c r="K65" s="193"/>
      <c r="L65" s="193"/>
      <c r="M65" s="193"/>
      <c r="N65" s="193"/>
      <c r="O65" s="193"/>
      <c r="P65" s="193"/>
      <c r="Q65" s="193"/>
      <c r="R65" s="193"/>
      <c r="S65" s="193"/>
      <c r="T65" s="193"/>
      <c r="U65" s="193"/>
      <c r="V65" s="193"/>
      <c r="W65" s="193"/>
      <c r="X65" s="193"/>
      <c r="Y65" s="193"/>
      <c r="Z65" s="193"/>
      <c r="AA65" s="193"/>
      <c r="AB65" s="193"/>
      <c r="AC65" s="193"/>
      <c r="AD65" s="193"/>
      <c r="AE65" s="194">
        <v>5.0000000000000001E-3</v>
      </c>
      <c r="AF65" s="194"/>
      <c r="AG65" s="194"/>
    </row>
    <row r="66" spans="2:33">
      <c r="F66" s="24">
        <f>+IF(F65="No",1,F65+1)</f>
        <v>2</v>
      </c>
      <c r="G66" s="193" t="s">
        <v>8712</v>
      </c>
      <c r="H66" s="193"/>
      <c r="I66" s="193"/>
      <c r="J66" s="193"/>
      <c r="K66" s="193"/>
      <c r="L66" s="193"/>
      <c r="M66" s="193"/>
      <c r="N66" s="193"/>
      <c r="O66" s="193"/>
      <c r="P66" s="193"/>
      <c r="Q66" s="193"/>
      <c r="R66" s="193"/>
      <c r="S66" s="193"/>
      <c r="T66" s="193"/>
      <c r="U66" s="193"/>
      <c r="V66" s="193"/>
      <c r="W66" s="193"/>
      <c r="X66" s="193"/>
      <c r="Y66" s="193"/>
      <c r="Z66" s="193"/>
      <c r="AA66" s="193"/>
      <c r="AB66" s="193"/>
      <c r="AC66" s="193"/>
      <c r="AD66" s="193"/>
      <c r="AE66" s="194">
        <v>5.0000000000000001E-3</v>
      </c>
      <c r="AF66" s="194"/>
      <c r="AG66" s="194"/>
    </row>
    <row r="67" spans="2:33">
      <c r="G67" s="244" t="s">
        <v>128</v>
      </c>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1">
        <f ca="1">SUM(AE65:OFFSET(W67,-1,-1))</f>
        <v>0.01</v>
      </c>
      <c r="AF67" s="241"/>
      <c r="AG67" s="241"/>
    </row>
    <row r="68" spans="2:33">
      <c r="G68" s="242" t="s">
        <v>129</v>
      </c>
      <c r="H68" s="242"/>
      <c r="I68" s="242"/>
      <c r="J68" s="242"/>
      <c r="K68" s="242"/>
      <c r="L68" s="242"/>
      <c r="M68" s="21"/>
    </row>
    <row r="69" spans="2:33">
      <c r="G69" s="236">
        <v>1</v>
      </c>
      <c r="H69" s="236"/>
      <c r="I69" s="236"/>
      <c r="J69" s="236"/>
      <c r="K69" s="236"/>
      <c r="L69" s="236"/>
      <c r="M69" s="21"/>
    </row>
    <row r="71" spans="2:33">
      <c r="B71" s="32" t="s">
        <v>139</v>
      </c>
      <c r="F71"/>
      <c r="G71"/>
      <c r="H71"/>
      <c r="I71"/>
      <c r="J71"/>
    </row>
    <row r="72" spans="2:33">
      <c r="F72"/>
      <c r="G72"/>
      <c r="H72"/>
      <c r="I72"/>
      <c r="J72"/>
    </row>
    <row r="73" spans="2:33">
      <c r="F73"/>
      <c r="G73"/>
      <c r="H73"/>
      <c r="I73"/>
      <c r="J73"/>
    </row>
    <row r="74" spans="2:33">
      <c r="F74"/>
      <c r="G74"/>
      <c r="H74"/>
      <c r="I74"/>
      <c r="J74"/>
    </row>
    <row r="75" spans="2:33">
      <c r="F75"/>
      <c r="G75"/>
      <c r="H75"/>
      <c r="I75"/>
      <c r="J75"/>
    </row>
    <row r="76" spans="2:33">
      <c r="F76"/>
      <c r="G76"/>
      <c r="H76"/>
      <c r="I76"/>
      <c r="J76"/>
    </row>
    <row r="77" spans="2:33">
      <c r="F77" s="26"/>
      <c r="G77" s="26"/>
      <c r="H77"/>
      <c r="I77" s="26"/>
      <c r="J77" s="26"/>
      <c r="K77" s="26"/>
      <c r="L77" s="26"/>
      <c r="M77" s="26"/>
      <c r="N77" s="26"/>
      <c r="O77" s="26"/>
      <c r="P77" s="26"/>
      <c r="Q77" s="26"/>
      <c r="R77" s="26"/>
      <c r="S77" s="26"/>
      <c r="T77" s="26"/>
      <c r="U77" s="26"/>
      <c r="V77" s="26"/>
      <c r="W77" s="26"/>
      <c r="X77" s="26"/>
      <c r="Y77" s="26"/>
      <c r="Z77" s="26"/>
      <c r="AA77" s="26"/>
      <c r="AB77" s="26"/>
    </row>
    <row r="78" spans="2:33">
      <c r="F78" s="26"/>
      <c r="G78" s="26"/>
      <c r="H78"/>
      <c r="I78" s="26"/>
      <c r="J78" s="26"/>
      <c r="K78" s="26"/>
      <c r="L78" s="26"/>
      <c r="M78" s="26"/>
      <c r="N78" s="26"/>
      <c r="O78" s="26"/>
      <c r="P78" s="26"/>
      <c r="Q78" s="26"/>
      <c r="R78" s="26"/>
      <c r="S78" s="26"/>
      <c r="T78" s="26"/>
      <c r="U78" s="26"/>
      <c r="V78" s="26"/>
      <c r="W78" s="26"/>
      <c r="X78" s="26"/>
      <c r="Y78" s="26"/>
      <c r="Z78" s="26"/>
      <c r="AA78" s="26"/>
      <c r="AB78" s="26"/>
    </row>
    <row r="81" spans="6:10">
      <c r="F81" s="21"/>
    </row>
    <row r="82" spans="6:10">
      <c r="F82" s="21"/>
    </row>
    <row r="90" spans="6:10">
      <c r="F90"/>
      <c r="G90"/>
      <c r="H90"/>
      <c r="I90"/>
      <c r="J90"/>
    </row>
    <row r="91" spans="6:10">
      <c r="F91"/>
      <c r="G91"/>
      <c r="H91"/>
      <c r="I91"/>
      <c r="J91"/>
    </row>
    <row r="92" spans="6:10">
      <c r="F92"/>
      <c r="G92"/>
      <c r="H92"/>
      <c r="I92"/>
      <c r="J92"/>
    </row>
    <row r="93" spans="6:10">
      <c r="F93"/>
      <c r="G93"/>
      <c r="H93"/>
      <c r="I93"/>
      <c r="J93"/>
    </row>
    <row r="94" spans="6:10">
      <c r="F94"/>
      <c r="G94"/>
      <c r="H94"/>
      <c r="I94"/>
      <c r="J94"/>
    </row>
    <row r="95" spans="6:10">
      <c r="F95"/>
      <c r="G95"/>
      <c r="H95"/>
      <c r="I95"/>
      <c r="J95"/>
    </row>
    <row r="96" spans="6:10">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sheetData>
  <sheetProtection algorithmName="SHA-512" hashValue="me2TxwBYLHVL+0Un33aGchWzUKrrrQNuk7okZ95OviPuIZ+iB2YLe8g0bXaWC+4We9DMP9AERysNnhB3xT6kAw==" saltValue="E8A/yMiWmfzs228yUa8ocA==" spinCount="100000" sheet="1" objects="1" scenarios="1"/>
  <mergeCells count="98">
    <mergeCell ref="F36:X36"/>
    <mergeCell ref="F42:N42"/>
    <mergeCell ref="F43:N43"/>
    <mergeCell ref="F44:N44"/>
    <mergeCell ref="F45:N45"/>
    <mergeCell ref="O44:AG44"/>
    <mergeCell ref="O45:AG45"/>
    <mergeCell ref="O42:AG42"/>
    <mergeCell ref="O43:AG43"/>
    <mergeCell ref="AE22:AG23"/>
    <mergeCell ref="I28:K29"/>
    <mergeCell ref="A24:A25"/>
    <mergeCell ref="F25:AG25"/>
    <mergeCell ref="F22:H23"/>
    <mergeCell ref="N22:P23"/>
    <mergeCell ref="Q22:S23"/>
    <mergeCell ref="U22:W23"/>
    <mergeCell ref="X22:Z23"/>
    <mergeCell ref="L28:AG29"/>
    <mergeCell ref="F28:H29"/>
    <mergeCell ref="A22:A23"/>
    <mergeCell ref="A26:A27"/>
    <mergeCell ref="F1:AG2"/>
    <mergeCell ref="K14:S14"/>
    <mergeCell ref="G39:L39"/>
    <mergeCell ref="G38:L38"/>
    <mergeCell ref="L3:AA4"/>
    <mergeCell ref="F20:AG20"/>
    <mergeCell ref="F5:AG5"/>
    <mergeCell ref="F10:AG10"/>
    <mergeCell ref="Y12:AG12"/>
    <mergeCell ref="Y14:AG14"/>
    <mergeCell ref="F3:K3"/>
    <mergeCell ref="F4:K4"/>
    <mergeCell ref="G34:I34"/>
    <mergeCell ref="AB22:AD23"/>
    <mergeCell ref="I22:L23"/>
    <mergeCell ref="Y16:AG16"/>
    <mergeCell ref="G69:L69"/>
    <mergeCell ref="G58:L58"/>
    <mergeCell ref="G59:L59"/>
    <mergeCell ref="F62:AG62"/>
    <mergeCell ref="AE67:AG67"/>
    <mergeCell ref="G68:L68"/>
    <mergeCell ref="G64:AD64"/>
    <mergeCell ref="G65:AD65"/>
    <mergeCell ref="G67:AD67"/>
    <mergeCell ref="AE64:AG64"/>
    <mergeCell ref="AE65:AG65"/>
    <mergeCell ref="F47:AG48"/>
    <mergeCell ref="V52:AE52"/>
    <mergeCell ref="V53:AE53"/>
    <mergeCell ref="P52:U52"/>
    <mergeCell ref="P53:U53"/>
    <mergeCell ref="K52:O52"/>
    <mergeCell ref="K53:O53"/>
    <mergeCell ref="AF53:AG53"/>
    <mergeCell ref="F50:AG50"/>
    <mergeCell ref="F52:G52"/>
    <mergeCell ref="H52:J52"/>
    <mergeCell ref="AF52:AG52"/>
    <mergeCell ref="F53:G53"/>
    <mergeCell ref="H53:J53"/>
    <mergeCell ref="J33:L33"/>
    <mergeCell ref="A5:A7"/>
    <mergeCell ref="A8:A9"/>
    <mergeCell ref="F12:J12"/>
    <mergeCell ref="K12:S12"/>
    <mergeCell ref="A10:A11"/>
    <mergeCell ref="A12:A13"/>
    <mergeCell ref="A20:A21"/>
    <mergeCell ref="A16:A17"/>
    <mergeCell ref="A18:A19"/>
    <mergeCell ref="A14:A15"/>
    <mergeCell ref="T12:X12"/>
    <mergeCell ref="F14:J14"/>
    <mergeCell ref="K18:S18"/>
    <mergeCell ref="F18:J18"/>
    <mergeCell ref="T14:X14"/>
    <mergeCell ref="K16:S16"/>
    <mergeCell ref="T16:X16"/>
    <mergeCell ref="F16:J16"/>
    <mergeCell ref="V54:AE54"/>
    <mergeCell ref="AF54:AG54"/>
    <mergeCell ref="G66:AD66"/>
    <mergeCell ref="AE66:AG66"/>
    <mergeCell ref="S33:U33"/>
    <mergeCell ref="S34:U34"/>
    <mergeCell ref="F54:G54"/>
    <mergeCell ref="H54:J54"/>
    <mergeCell ref="K54:O54"/>
    <mergeCell ref="P54:U54"/>
    <mergeCell ref="M33:O33"/>
    <mergeCell ref="P33:R33"/>
    <mergeCell ref="J34:L34"/>
    <mergeCell ref="M34:O34"/>
    <mergeCell ref="P34:R34"/>
    <mergeCell ref="G33:I33"/>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3:Q63" xr:uid="{EEB2FEC0-3059-40CE-95E1-122DE6640770}">
      <formula1>A1_Lista_SF</formula1>
    </dataValidation>
    <dataValidation type="whole" allowBlank="1" showInputMessage="1" showErrorMessage="1" errorTitle="Filas a agregar/eliminar" error="Por favor ingrese un número entre 1 y 100" sqref="G39:L39 G59:L59" xr:uid="{ACE88425-C32F-4FB6-9E29-B8A3A0587881}">
      <formula1>1</formula1>
      <formula2>100</formula2>
    </dataValidation>
    <dataValidation type="whole" allowBlank="1" showInputMessage="1" showErrorMessage="1" errorTitle="Filas a agregar/eliminar" error="Por favor ingrese un número entre 1 y 100" sqref="G69:L69"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5" xr:uid="{9EF4FB86-1EC9-4676-BF7B-84AFEEF5721D}">
      <formula1>Deptos</formula1>
    </dataValidation>
    <dataValidation type="whole" operator="greaterThan" allowBlank="1" showInputMessage="1" showErrorMessage="1" errorTitle="Error" error="Valor no válido" sqref="AB55 AF53:AF54" xr:uid="{15569035-D73E-457F-9FAF-EE5AA0835237}">
      <formula1>0</formula1>
    </dataValidation>
    <dataValidation type="list" allowBlank="1" showInputMessage="1" showErrorMessage="1" sqref="K53:O54" xr:uid="{354304A6-1C30-416F-903F-185CD3B2AD7A}">
      <formula1>departamentos_DIVIPOLA</formula1>
    </dataValidation>
    <dataValidation type="list" allowBlank="1" showInputMessage="1" showErrorMessage="1" sqref="O43:O45"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2"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7"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5:AG66" xr:uid="{F7494C60-34D1-46CC-83D5-5A7F89B17C67}">
      <formula1>AND(ROUND(AE65,4)=AE65, AE65&gt;=0, AE65&lt;=1)</formula1>
    </dataValidation>
    <dataValidation type="date" operator="greaterThanOrEqual" allowBlank="1" showInputMessage="1" showErrorMessage="1" errorTitle="Error" error="Fecha no válida" sqref="H53:H55" xr:uid="{19A40E00-F484-4364-8D0F-11A7187945C8}">
      <formula1>TODAY()</formula1>
    </dataValidation>
    <dataValidation type="whole" operator="greaterThanOrEqual" allowBlank="1" showInputMessage="1" showErrorMessage="1" errorTitle="Cantidad" error="Por favor ingrese una cantidad mayor o igual a 1" sqref="S34:U34" xr:uid="{4B27204F-9332-49B1-9541-732F00FC18BF}">
      <formula1>1</formula1>
    </dataValidation>
  </dataValidations>
  <hyperlinks>
    <hyperlink ref="F47:R48"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47:AG48"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4BA573A-5248-4CF6-AE10-C00D468F00BD}">
          <x14:formula1>
            <xm:f>Desplegable_prod!$D$2:$D$40</xm:f>
          </x14:formula1>
          <xm:sqref>P34:R34</xm:sqref>
        </x14:dataValidation>
        <x14:dataValidation type="list" allowBlank="1" showInputMessage="1" showErrorMessage="1" xr:uid="{01C175B4-E7C5-43B6-B0DB-12E25C01C9FE}">
          <x14:formula1>
            <xm:f>Desplegable_prod!$C$2:$C$40</xm:f>
          </x14:formula1>
          <xm:sqref>M34:O34</xm:sqref>
        </x14:dataValidation>
        <x14:dataValidation type="list" allowBlank="1" showInputMessage="1" showErrorMessage="1" xr:uid="{52B8D395-8DAA-4577-8400-FA33E607C4C6}">
          <x14:formula1>
            <xm:f>Desplegable_prod!$B$2:$B$40</xm:f>
          </x14:formula1>
          <xm:sqref>J34:L34</xm:sqref>
        </x14:dataValidation>
        <x14:dataValidation type="list" allowBlank="1" showInputMessage="1" showErrorMessage="1" xr:uid="{77A385E4-F4D0-4DFD-8D0E-AAA89D644F6E}">
          <x14:formula1>
            <xm:f>Desplegable_prod!$A$2:$A$40</xm:f>
          </x14:formula1>
          <xm:sqref>G34:I34</xm:sqref>
        </x14:dataValidation>
        <x14:dataValidation type="list" allowBlank="1" showInputMessage="1" showErrorMessage="1" xr:uid="{1ED7FBDD-688E-49EE-8D89-4511A544C3F1}">
          <x14:formula1>
            <xm:f>OFFSET(Municipios_DIVIPOLA!$H$1,MATCH(K53,Municipios_DIVIPOLA!H:H,0)-1,1,COUNTIF(Municipios_DIVIPOLA!H:H,K53))</xm:f>
          </x14:formula1>
          <xm:sqref>P53:U54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AgVUKRkNxpqXaM0LVD5d8J91cHJrBDAB39G1y+CxhWQhcb16cIqnXsD3nQZ2eqkzpXfv6zyt2vq9lTBlybxMVw==" saltValue="m4U3FxgtvN1+usEl07asVw=="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KTguG/Wb0WX2KnCMZSqeMFDyGrWvbsuqGJVDktoSeoEv4HTMW0e0wOEblwmfSWOQnC6ikv6900vF271wBRLWQQ==" saltValue="cDA8m6hWtw0XYmEjkbkzAw=="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FGzY1sRneQ8uQcAD6eJ4cQ7W6UwnzfWshbuZ3d+VvmeV+UOBCSm6ENHyOdlVWluYkuOc0odf0RVLDs/6CIv3AA==" saltValue="IzKRQuDz+t5/8ycNlzI7Yw=="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8012</v>
      </c>
      <c r="B2" t="s">
        <v>4142</v>
      </c>
      <c r="C2" t="s">
        <v>8717</v>
      </c>
      <c r="D2" s="27" t="s">
        <v>3850</v>
      </c>
      <c r="E2" t="s">
        <v>4198</v>
      </c>
      <c r="F2" t="s">
        <v>190</v>
      </c>
      <c r="G2" s="58">
        <v>298076.76089999999</v>
      </c>
      <c r="H2" s="114">
        <v>1</v>
      </c>
      <c r="I2">
        <v>1</v>
      </c>
      <c r="J2">
        <v>5000</v>
      </c>
      <c r="K2" t="s">
        <v>3117</v>
      </c>
      <c r="L2" t="s">
        <v>3110</v>
      </c>
      <c r="M2" t="s">
        <v>4287</v>
      </c>
    </row>
    <row r="3" spans="1:16">
      <c r="A3" t="s">
        <v>8018</v>
      </c>
      <c r="B3" t="s">
        <v>4142</v>
      </c>
      <c r="C3" t="s">
        <v>8718</v>
      </c>
      <c r="D3" s="27" t="s">
        <v>3852</v>
      </c>
      <c r="E3" t="s">
        <v>4175</v>
      </c>
      <c r="F3" t="s">
        <v>190</v>
      </c>
      <c r="G3" s="58">
        <v>148153.5</v>
      </c>
      <c r="H3" s="114">
        <v>1</v>
      </c>
      <c r="I3">
        <v>1</v>
      </c>
      <c r="J3">
        <v>5000</v>
      </c>
      <c r="K3" t="s">
        <v>3117</v>
      </c>
      <c r="L3" t="s">
        <v>3112</v>
      </c>
      <c r="M3" t="s">
        <v>4287</v>
      </c>
    </row>
    <row r="4" spans="1:16">
      <c r="A4" t="s">
        <v>8020</v>
      </c>
      <c r="B4" t="s">
        <v>4142</v>
      </c>
      <c r="C4" t="s">
        <v>8719</v>
      </c>
      <c r="D4" s="27" t="s">
        <v>3852</v>
      </c>
      <c r="E4" t="s">
        <v>4164</v>
      </c>
      <c r="F4" t="s">
        <v>190</v>
      </c>
      <c r="G4" s="58">
        <v>303714.67499999999</v>
      </c>
      <c r="H4" s="114">
        <v>1</v>
      </c>
      <c r="I4">
        <v>1</v>
      </c>
      <c r="J4">
        <v>5000</v>
      </c>
      <c r="K4" t="s">
        <v>3117</v>
      </c>
      <c r="L4" t="s">
        <v>3112</v>
      </c>
      <c r="M4" t="s">
        <v>4287</v>
      </c>
    </row>
    <row r="5" spans="1:16">
      <c r="A5" t="s">
        <v>8022</v>
      </c>
      <c r="B5" t="s">
        <v>4142</v>
      </c>
      <c r="C5" t="s">
        <v>8720</v>
      </c>
      <c r="D5" s="27" t="s">
        <v>3852</v>
      </c>
      <c r="E5" t="s">
        <v>4188</v>
      </c>
      <c r="F5" t="s">
        <v>190</v>
      </c>
      <c r="G5" s="58">
        <v>231267.61350000001</v>
      </c>
      <c r="H5" s="114">
        <v>1</v>
      </c>
      <c r="I5">
        <v>1</v>
      </c>
      <c r="J5">
        <v>5000</v>
      </c>
      <c r="K5" t="s">
        <v>3117</v>
      </c>
      <c r="L5" t="s">
        <v>3112</v>
      </c>
      <c r="M5" t="s">
        <v>4287</v>
      </c>
    </row>
    <row r="6" spans="1:16">
      <c r="A6" t="s">
        <v>8024</v>
      </c>
      <c r="B6" t="s">
        <v>4142</v>
      </c>
      <c r="C6" t="s">
        <v>8721</v>
      </c>
      <c r="D6" s="27" t="s">
        <v>3852</v>
      </c>
      <c r="E6" t="s">
        <v>3093</v>
      </c>
      <c r="F6" t="s">
        <v>190</v>
      </c>
      <c r="G6" s="58">
        <v>276104.25</v>
      </c>
      <c r="H6" s="114">
        <v>1</v>
      </c>
      <c r="I6">
        <v>1</v>
      </c>
      <c r="J6">
        <v>5000</v>
      </c>
      <c r="K6" t="s">
        <v>3117</v>
      </c>
      <c r="L6" t="s">
        <v>3112</v>
      </c>
      <c r="M6" t="s">
        <v>4287</v>
      </c>
    </row>
    <row r="7" spans="1:16">
      <c r="A7" t="s">
        <v>8026</v>
      </c>
      <c r="B7" t="s">
        <v>4142</v>
      </c>
      <c r="C7" t="s">
        <v>8722</v>
      </c>
      <c r="D7" s="27" t="s">
        <v>3852</v>
      </c>
      <c r="E7" t="s">
        <v>3091</v>
      </c>
      <c r="F7" t="s">
        <v>190</v>
      </c>
      <c r="G7" s="58">
        <v>336712.5</v>
      </c>
      <c r="H7" s="114">
        <v>1</v>
      </c>
      <c r="I7">
        <v>1</v>
      </c>
      <c r="J7">
        <v>5000</v>
      </c>
      <c r="K7" t="s">
        <v>3117</v>
      </c>
      <c r="L7" t="s">
        <v>3112</v>
      </c>
      <c r="M7" t="s">
        <v>4287</v>
      </c>
    </row>
    <row r="8" spans="1:16">
      <c r="A8" t="s">
        <v>8028</v>
      </c>
      <c r="B8" t="s">
        <v>4142</v>
      </c>
      <c r="C8" t="s">
        <v>8723</v>
      </c>
      <c r="D8" s="27" t="s">
        <v>3852</v>
      </c>
      <c r="E8" t="s">
        <v>3103</v>
      </c>
      <c r="F8" t="s">
        <v>190</v>
      </c>
      <c r="G8" s="58">
        <v>316294.25399999996</v>
      </c>
      <c r="H8" s="114">
        <v>1</v>
      </c>
      <c r="I8">
        <v>1</v>
      </c>
      <c r="J8">
        <v>5000</v>
      </c>
      <c r="K8" t="s">
        <v>3117</v>
      </c>
      <c r="L8" t="s">
        <v>3112</v>
      </c>
      <c r="M8" t="s">
        <v>4287</v>
      </c>
    </row>
    <row r="9" spans="1:16">
      <c r="A9" t="s">
        <v>8030</v>
      </c>
      <c r="B9" t="s">
        <v>4142</v>
      </c>
      <c r="C9" t="s">
        <v>8724</v>
      </c>
      <c r="D9" s="27" t="s">
        <v>3852</v>
      </c>
      <c r="E9" t="s">
        <v>3094</v>
      </c>
      <c r="F9" t="s">
        <v>190</v>
      </c>
      <c r="G9" s="58">
        <v>296307</v>
      </c>
      <c r="H9" s="114">
        <v>1</v>
      </c>
      <c r="I9">
        <v>1</v>
      </c>
      <c r="J9">
        <v>5000</v>
      </c>
      <c r="K9" t="s">
        <v>3117</v>
      </c>
      <c r="L9" t="s">
        <v>3112</v>
      </c>
      <c r="M9" t="s">
        <v>4287</v>
      </c>
    </row>
    <row r="10" spans="1:16">
      <c r="A10" t="s">
        <v>8032</v>
      </c>
      <c r="B10" t="s">
        <v>4142</v>
      </c>
      <c r="C10" t="s">
        <v>8725</v>
      </c>
      <c r="D10" s="27" t="s">
        <v>3852</v>
      </c>
      <c r="E10" t="s">
        <v>4176</v>
      </c>
      <c r="F10" t="s">
        <v>190</v>
      </c>
      <c r="G10" s="58">
        <v>334018.8</v>
      </c>
      <c r="H10" s="114">
        <v>1</v>
      </c>
      <c r="I10">
        <v>1</v>
      </c>
      <c r="J10">
        <v>5000</v>
      </c>
      <c r="K10" t="s">
        <v>3117</v>
      </c>
      <c r="L10" t="s">
        <v>3112</v>
      </c>
      <c r="M10" t="s">
        <v>4287</v>
      </c>
    </row>
    <row r="11" spans="1:16">
      <c r="A11" t="s">
        <v>8034</v>
      </c>
      <c r="B11" t="s">
        <v>4142</v>
      </c>
      <c r="C11" t="s">
        <v>8726</v>
      </c>
      <c r="D11" s="27" t="s">
        <v>3852</v>
      </c>
      <c r="E11" t="s">
        <v>3098</v>
      </c>
      <c r="F11" t="s">
        <v>190</v>
      </c>
      <c r="G11" s="58">
        <v>231119.46</v>
      </c>
      <c r="H11" s="114">
        <v>1</v>
      </c>
      <c r="I11">
        <v>1</v>
      </c>
      <c r="J11">
        <v>5000</v>
      </c>
      <c r="K11" t="s">
        <v>3117</v>
      </c>
      <c r="L11" t="s">
        <v>3112</v>
      </c>
      <c r="M11" t="s">
        <v>4287</v>
      </c>
    </row>
    <row r="12" spans="1:16">
      <c r="A12" t="s">
        <v>8036</v>
      </c>
      <c r="B12" t="s">
        <v>4142</v>
      </c>
      <c r="C12" t="s">
        <v>8727</v>
      </c>
      <c r="D12" s="27" t="s">
        <v>3852</v>
      </c>
      <c r="E12" t="s">
        <v>4197</v>
      </c>
      <c r="F12" t="s">
        <v>190</v>
      </c>
      <c r="G12" s="58">
        <v>296307</v>
      </c>
      <c r="H12" s="114">
        <v>1</v>
      </c>
      <c r="I12">
        <v>1</v>
      </c>
      <c r="J12">
        <v>5000</v>
      </c>
      <c r="K12" t="s">
        <v>3117</v>
      </c>
      <c r="L12" t="s">
        <v>3112</v>
      </c>
      <c r="M12" t="s">
        <v>4287</v>
      </c>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IIq2Em1TcKjmn6qRMmubHtFBaEbqliftU4F/OkfJcwWjetXyU13IpnG3T8cB3xz5EqSjKC2hMmbujIXs3PEPRw==" saltValue="bA3uvpOUvii0AFNBf3kJCg=="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U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21" ht="15" thickBot="1">
      <c r="D1" s="154" t="s">
        <v>263</v>
      </c>
      <c r="E1" s="167" t="s">
        <v>3494</v>
      </c>
      <c r="F1" s="167" t="s">
        <v>3129</v>
      </c>
      <c r="G1" t="s">
        <v>3902</v>
      </c>
      <c r="H1" t="s">
        <v>3903</v>
      </c>
      <c r="I1" t="s">
        <v>3496</v>
      </c>
      <c r="J1" s="167" t="s">
        <v>159</v>
      </c>
      <c r="K1" t="s">
        <v>4198</v>
      </c>
      <c r="L1" t="s">
        <v>4175</v>
      </c>
      <c r="M1" t="s">
        <v>4164</v>
      </c>
      <c r="N1" t="s">
        <v>4188</v>
      </c>
      <c r="O1" t="s">
        <v>3093</v>
      </c>
      <c r="P1" t="s">
        <v>3091</v>
      </c>
      <c r="Q1" t="s">
        <v>3103</v>
      </c>
      <c r="R1" t="s">
        <v>3094</v>
      </c>
      <c r="S1" t="s">
        <v>4176</v>
      </c>
      <c r="T1" t="s">
        <v>3098</v>
      </c>
      <c r="U1" t="s">
        <v>4197</v>
      </c>
    </row>
    <row r="2" spans="3:21" ht="24">
      <c r="C2" t="s">
        <v>8728</v>
      </c>
      <c r="D2" s="155">
        <f>IFERROR(IF(D1="Ítem",1,ROW()-ROW(SolCotizacion!#REF!)),ROW()-ROW(SolCotizacion!#REF!))</f>
        <v>1</v>
      </c>
      <c r="E2" s="168" t="str">
        <f>+SolCotizacion!$I$28</f>
        <v>min03-P57</v>
      </c>
      <c r="F2" s="155" t="str">
        <f>+SolCotizacion!$L$28</f>
        <v>SOBRECARPA_según NTMD vigente</v>
      </c>
      <c r="G2" t="s">
        <v>8729</v>
      </c>
      <c r="H2" t="s">
        <v>8730</v>
      </c>
      <c r="I2" t="s">
        <v>190</v>
      </c>
      <c r="J2" s="169">
        <v>598</v>
      </c>
      <c r="K2" s="104">
        <v>178249903.01820001</v>
      </c>
      <c r="L2" s="104">
        <v>88595793</v>
      </c>
      <c r="M2" s="104">
        <v>181621375.65000001</v>
      </c>
      <c r="N2" s="104">
        <v>138298032.873</v>
      </c>
      <c r="O2" s="104">
        <v>165110341.5</v>
      </c>
      <c r="P2" s="104">
        <v>201354075</v>
      </c>
      <c r="Q2" s="104">
        <v>189143963.89199996</v>
      </c>
      <c r="R2" s="104">
        <v>177191586</v>
      </c>
      <c r="S2" s="104">
        <v>199743242.40000001</v>
      </c>
      <c r="T2" s="104">
        <v>138209437.07999998</v>
      </c>
      <c r="U2" s="104">
        <v>177191586</v>
      </c>
    </row>
    <row r="3" spans="3:21" s="104" customFormat="1">
      <c r="D3" s="148"/>
      <c r="E3" s="148"/>
      <c r="F3" s="148"/>
      <c r="J3" s="148" t="s">
        <v>1353</v>
      </c>
      <c r="K3" s="104">
        <v>178249903.01820001</v>
      </c>
      <c r="L3" s="104">
        <v>88595793</v>
      </c>
      <c r="M3" s="104">
        <v>181621375.65000001</v>
      </c>
      <c r="N3" s="104">
        <v>138298032.873</v>
      </c>
      <c r="O3" s="104">
        <v>165110341.5</v>
      </c>
      <c r="P3" s="104">
        <v>201354075</v>
      </c>
      <c r="Q3" s="104">
        <v>189143963.89199999</v>
      </c>
      <c r="R3" s="104">
        <v>177191586</v>
      </c>
      <c r="S3" s="104">
        <v>199743242.40000001</v>
      </c>
      <c r="T3" s="104">
        <v>138209437.08000001</v>
      </c>
      <c r="U3" s="104">
        <v>177191586</v>
      </c>
    </row>
    <row r="4" spans="3:21">
      <c r="J4" t="s">
        <v>1443</v>
      </c>
      <c r="K4" t="s">
        <v>1445</v>
      </c>
      <c r="L4" t="s">
        <v>1445</v>
      </c>
      <c r="M4" t="s">
        <v>1445</v>
      </c>
      <c r="N4" t="s">
        <v>1445</v>
      </c>
      <c r="O4" t="s">
        <v>1445</v>
      </c>
      <c r="P4" t="s">
        <v>4054</v>
      </c>
      <c r="Q4" t="s">
        <v>1445</v>
      </c>
      <c r="R4" t="s">
        <v>1445</v>
      </c>
      <c r="S4" t="s">
        <v>1445</v>
      </c>
      <c r="T4" t="s">
        <v>1445</v>
      </c>
      <c r="U4" t="s">
        <v>1445</v>
      </c>
    </row>
    <row r="5" spans="3:21">
      <c r="J5" t="s">
        <v>1444</v>
      </c>
      <c r="K5" t="s">
        <v>3911</v>
      </c>
      <c r="L5" t="s">
        <v>3911</v>
      </c>
      <c r="M5" t="s">
        <v>3911</v>
      </c>
      <c r="N5" t="s">
        <v>3911</v>
      </c>
      <c r="O5" t="s">
        <v>3911</v>
      </c>
      <c r="P5" t="s">
        <v>8731</v>
      </c>
      <c r="Q5" t="s">
        <v>3911</v>
      </c>
      <c r="R5" t="s">
        <v>3911</v>
      </c>
      <c r="S5" t="s">
        <v>3911</v>
      </c>
      <c r="T5" t="s">
        <v>3911</v>
      </c>
      <c r="U5" t="s">
        <v>3911</v>
      </c>
    </row>
  </sheetData>
  <sheetProtection algorithmName="SHA-512" hashValue="JU8+p6e8wT/IDZRVGT5hWkivEN5ChXDi+CZwiwWjmMSqzNM0Uf1guAnOmK44zUXax/rMAjxbrzho7n4SP7JSoA==" saltValue="hieV76cRuomzhfRxNzeBag=="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caohPtukQlp7/aHTVeRjowtjtX+jn++QlTKk1pyYegZZc2wE2meVuBWzgwgAQyl3xYyRPLQjfDMGh3A110jd4w==" saltValue="hvnDQvY6W/oggcL4S4q3tw=="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laZGikBsQg0MQNpk1U7+K6+7hUUrC669W4gNDfrhTI4lb2btJItZC5hkK30EsVwQu7s8cvhw+rSKyGhq9HnorQ==" saltValue="1LJQvuJlctCLQbf3wx9rjQ=="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S4fzkktqMvOeJvr9xYVo7OAvNp7xCne4LpTc2z5+70VtC/qIIt+Cb4b/Bo0dqGkG+Q+yRK943b+b/kR3dHaK5Q==" saltValue="kkt3Z8hzS/838UsklYzBGw=="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2D3DPJqYJALqltajzrYWToyzqKsuNiZdrnY5tK27Du0OmI9ZRpEuPmRmeb5X3ePZ4KRkdol7o5t9sI4V2cB+UA==" saltValue="70nbOhbWe3+Idl4x+qxO2w=="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QyXQuhHmjFCS7ACCuEIFSrBB1KYXm2cxUhjvMCF5aZ2KFyMcxPV4esyDK53vG8AWrAX0ZjKGks5jzg49bmc2bA==" saltValue="/K5rS4YmtUo36ABwZReWj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aUzcwhrspGU9MJgquxWxB1DwMsUvEbxr1TapgdquIFBSt86+k2ydoKzb4yT+2LMR1Via+EsD+av8lH5xim8vNA==" saltValue="QhdK8gZuzBeohcYdVu/cLw=="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GfafRBZtmT37IQT0jMpol0j3XoneBLscMRGweXtx6RFRLocSWZpb8QojoenC+zsNzqQhsq8mUWa4gcgqX3i1fg==" saltValue="A6BUnkHowPdcLQpDDDfOeg=="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8732</v>
      </c>
      <c r="C2" s="27" t="s">
        <v>3117</v>
      </c>
      <c r="D2" s="27" t="s">
        <v>8733</v>
      </c>
      <c r="E2" s="27" t="s">
        <v>190</v>
      </c>
      <c r="F2" s="27" t="s">
        <v>8735</v>
      </c>
      <c r="G2" s="27" t="s">
        <v>191</v>
      </c>
    </row>
    <row r="3" spans="1:7">
      <c r="A3" s="27" t="s">
        <v>1364</v>
      </c>
      <c r="B3" s="27" t="s">
        <v>1365</v>
      </c>
      <c r="C3" s="27" t="s">
        <v>189</v>
      </c>
      <c r="D3" s="27" t="s">
        <v>8734</v>
      </c>
      <c r="E3" s="27" t="s">
        <v>190</v>
      </c>
      <c r="F3" s="27" t="s">
        <v>3913</v>
      </c>
      <c r="G3" s="27" t="s">
        <v>191</v>
      </c>
    </row>
  </sheetData>
  <sheetProtection algorithmName="SHA-512" hashValue="hPKRYtjpFYatSPbb3GaQ8YNH8I2jnWt4E+vI5yqbF5Zox9J6+rZwLDbQoSxmNs7gBxPsmYwQO0Bel593X+G+zw==" saltValue="YIdRQnyxz9wPdmzMgcmOfA=="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8736</v>
      </c>
    </row>
    <row r="3" spans="1:1">
      <c r="A3" s="27" t="s">
        <v>8737</v>
      </c>
    </row>
  </sheetData>
  <sheetProtection algorithmName="SHA-512" hashValue="520cBZk1VycRrQKNeoOVYModkqWzkgFh7ctVXIH2aQM8YTpZ7pG2CAVvL19hQyN0qWhfXgU9cixeTmswz3GhIQ==" saltValue="y805lgOcGOu/2nxRtOCGUA=="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ZWk1BhyhFW6pPNRySbrFu/lukIvCPDsAaTUi24qywCm7mOUyUQufALS9f4e6G7VmggKS2m98nA5gbbkdqPmhCg==" saltValue="ZSbquQ1EjZWNYXilXGIqd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45" t="s">
        <v>1388</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row>
    <row r="2" spans="1:33" ht="14.25" customHeight="1">
      <c r="A2" s="61"/>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3" ht="14.25" customHeight="1">
      <c r="A3" s="62"/>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3" ht="14.25" customHeight="1">
      <c r="A4" s="63"/>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3" ht="14.25" hidden="1" customHeight="1">
      <c r="A5" s="217" t="s">
        <v>170</v>
      </c>
      <c r="F5" s="247" t="s">
        <v>3909</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3" ht="14.25" customHeight="1">
      <c r="A6" s="218"/>
    </row>
    <row r="7" spans="1:33" ht="14.25" hidden="1" customHeight="1">
      <c r="A7" s="219"/>
    </row>
    <row r="8" spans="1:33" ht="14.25" hidden="1" customHeight="1">
      <c r="A8" s="220" t="s">
        <v>162</v>
      </c>
    </row>
    <row r="9" spans="1:33" ht="14.25" hidden="1" customHeight="1">
      <c r="A9" s="221"/>
    </row>
    <row r="10" spans="1:33" ht="27.95" customHeight="1">
      <c r="A10" s="222" t="s">
        <v>163</v>
      </c>
      <c r="B10" s="32"/>
      <c r="F10" s="231" t="s">
        <v>105</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3" ht="4.5" customHeight="1">
      <c r="A11" s="222"/>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3" t="s">
        <v>259</v>
      </c>
      <c r="B12" s="32"/>
      <c r="F12" s="205" t="s">
        <v>106</v>
      </c>
      <c r="G12" s="206"/>
      <c r="H12" s="206"/>
      <c r="I12" s="206"/>
      <c r="J12" s="207"/>
      <c r="K12" s="341" t="s">
        <v>8688</v>
      </c>
      <c r="L12" s="342"/>
      <c r="M12" s="342"/>
      <c r="N12" s="342"/>
      <c r="O12" s="342"/>
      <c r="P12" s="342"/>
      <c r="Q12" s="342"/>
      <c r="R12" s="342"/>
      <c r="S12" s="342"/>
      <c r="T12" s="203" t="s">
        <v>107</v>
      </c>
      <c r="U12" s="204"/>
      <c r="V12" s="204"/>
      <c r="W12" s="204"/>
      <c r="X12" s="204"/>
      <c r="Y12" s="344">
        <v>800130690</v>
      </c>
      <c r="Z12" s="344"/>
      <c r="AA12" s="344"/>
      <c r="AB12" s="344"/>
      <c r="AC12" s="344"/>
      <c r="AD12" s="344"/>
      <c r="AE12" s="344"/>
      <c r="AF12" s="344"/>
      <c r="AG12" s="344"/>
    </row>
    <row r="13" spans="1:33" ht="3.75" customHeight="1">
      <c r="A13" s="223"/>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25" t="s">
        <v>164</v>
      </c>
      <c r="B14" s="32"/>
      <c r="F14" s="205" t="s">
        <v>108</v>
      </c>
      <c r="G14" s="206"/>
      <c r="H14" s="206"/>
      <c r="I14" s="206"/>
      <c r="J14" s="207"/>
      <c r="K14" s="341" t="s">
        <v>8689</v>
      </c>
      <c r="L14" s="342"/>
      <c r="M14" s="342"/>
      <c r="N14" s="342"/>
      <c r="O14" s="342"/>
      <c r="P14" s="342"/>
      <c r="Q14" s="342"/>
      <c r="R14" s="342"/>
      <c r="S14" s="342"/>
      <c r="T14" s="205" t="s">
        <v>156</v>
      </c>
      <c r="U14" s="206"/>
      <c r="V14" s="206"/>
      <c r="W14" s="206"/>
      <c r="X14" s="206"/>
      <c r="Y14" s="343" t="s">
        <v>2866</v>
      </c>
      <c r="Z14" s="343"/>
      <c r="AA14" s="343"/>
      <c r="AB14" s="343"/>
      <c r="AC14" s="343"/>
      <c r="AD14" s="343"/>
      <c r="AE14" s="343"/>
      <c r="AF14" s="343"/>
      <c r="AG14" s="343"/>
    </row>
    <row r="15" spans="1:33" ht="2.25" customHeight="1">
      <c r="A15" s="225"/>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24" t="s">
        <v>165</v>
      </c>
      <c r="B16" s="32"/>
      <c r="F16" s="203" t="s">
        <v>110</v>
      </c>
      <c r="G16" s="204"/>
      <c r="H16" s="204"/>
      <c r="I16" s="204"/>
      <c r="J16" s="204"/>
      <c r="K16" s="341" t="s">
        <v>8690</v>
      </c>
      <c r="L16" s="342"/>
      <c r="M16" s="342"/>
      <c r="N16" s="342"/>
      <c r="O16" s="342"/>
      <c r="P16" s="342"/>
      <c r="Q16" s="342"/>
      <c r="R16" s="342"/>
      <c r="S16" s="342"/>
      <c r="T16" s="215" t="s">
        <v>109</v>
      </c>
      <c r="U16" s="216"/>
      <c r="V16" s="216"/>
      <c r="W16" s="216"/>
      <c r="X16" s="216"/>
      <c r="Y16" s="344">
        <v>3234801420</v>
      </c>
      <c r="Z16" s="344"/>
      <c r="AA16" s="344"/>
      <c r="AB16" s="344"/>
      <c r="AC16" s="344"/>
      <c r="AD16" s="344"/>
      <c r="AE16" s="344"/>
      <c r="AF16" s="344"/>
      <c r="AG16" s="344"/>
    </row>
    <row r="17" spans="1:49" ht="3" customHeight="1">
      <c r="A17" s="22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25" t="s">
        <v>166</v>
      </c>
      <c r="B18" s="71"/>
      <c r="F18" s="211" t="s">
        <v>111</v>
      </c>
      <c r="G18" s="212"/>
      <c r="H18" s="212"/>
      <c r="I18" s="212"/>
      <c r="J18" s="212"/>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25"/>
      <c r="B19" s="32"/>
      <c r="F19" s="11"/>
      <c r="G19" s="11"/>
      <c r="H19" s="11"/>
      <c r="I19" s="11"/>
      <c r="J19" s="11"/>
    </row>
    <row r="20" spans="1:49" ht="27.95" customHeight="1">
      <c r="A20" s="224" t="s">
        <v>167</v>
      </c>
      <c r="B20" s="32"/>
      <c r="F20" s="231" t="s">
        <v>3125</v>
      </c>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row>
    <row r="21" spans="1:49" ht="4.5" customHeight="1">
      <c r="A21" s="221"/>
      <c r="B21" s="32"/>
    </row>
    <row r="22" spans="1:49" ht="13.9" customHeight="1">
      <c r="A22" s="225" t="s">
        <v>1366</v>
      </c>
      <c r="B22" s="69"/>
      <c r="C22" s="16"/>
      <c r="D22" s="16"/>
      <c r="F22" s="252" t="s">
        <v>3126</v>
      </c>
      <c r="G22" s="253"/>
      <c r="H22" s="254"/>
      <c r="I22" s="329" t="s">
        <v>8692</v>
      </c>
      <c r="J22" s="330"/>
      <c r="K22" s="330"/>
      <c r="L22" s="331"/>
      <c r="M22" s="17"/>
      <c r="N22" s="252" t="s">
        <v>3918</v>
      </c>
      <c r="O22" s="253"/>
      <c r="P22" s="254"/>
      <c r="Q22" s="329" t="s">
        <v>240</v>
      </c>
      <c r="R22" s="330"/>
      <c r="S22" s="331"/>
      <c r="T22" s="17"/>
      <c r="U22" s="252" t="s">
        <v>276</v>
      </c>
      <c r="V22" s="253"/>
      <c r="W22" s="254"/>
      <c r="X22" s="329" t="s">
        <v>8715</v>
      </c>
      <c r="Y22" s="330"/>
      <c r="Z22" s="331"/>
      <c r="AA22" s="17"/>
      <c r="AB22" s="252" t="s">
        <v>112</v>
      </c>
      <c r="AC22" s="253"/>
      <c r="AD22" s="254"/>
      <c r="AE22" s="335">
        <v>67155400</v>
      </c>
      <c r="AF22" s="336"/>
      <c r="AG22" s="337"/>
    </row>
    <row r="23" spans="1:49" ht="14.25" customHeight="1">
      <c r="A23" s="281"/>
      <c r="B23" s="32"/>
      <c r="F23" s="255"/>
      <c r="G23" s="256"/>
      <c r="H23" s="257"/>
      <c r="I23" s="332"/>
      <c r="J23" s="333"/>
      <c r="K23" s="333"/>
      <c r="L23" s="334"/>
      <c r="M23" s="17"/>
      <c r="N23" s="255"/>
      <c r="O23" s="256"/>
      <c r="P23" s="257"/>
      <c r="Q23" s="332"/>
      <c r="R23" s="333"/>
      <c r="S23" s="334"/>
      <c r="T23" s="17"/>
      <c r="U23" s="255"/>
      <c r="V23" s="256"/>
      <c r="W23" s="257"/>
      <c r="X23" s="332"/>
      <c r="Y23" s="333"/>
      <c r="Z23" s="334"/>
      <c r="AA23" s="17"/>
      <c r="AB23" s="255"/>
      <c r="AC23" s="256"/>
      <c r="AD23" s="257"/>
      <c r="AE23" s="338"/>
      <c r="AF23" s="339"/>
      <c r="AG23" s="340"/>
    </row>
    <row r="24" spans="1:49" ht="15" customHeight="1">
      <c r="A24" s="271"/>
      <c r="B24" s="32"/>
      <c r="F24" s="11"/>
      <c r="G24" s="11"/>
      <c r="H24" s="11"/>
      <c r="I24" s="11"/>
      <c r="J24" s="11"/>
    </row>
    <row r="25" spans="1:49" ht="45" customHeight="1">
      <c r="A25" s="271"/>
      <c r="B25" s="32"/>
      <c r="F25" s="272" t="s">
        <v>8716</v>
      </c>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4"/>
    </row>
    <row r="26" spans="1:49" ht="14.25" customHeight="1" thickBot="1">
      <c r="A26" s="282"/>
      <c r="B26" s="32"/>
    </row>
    <row r="27" spans="1:49" ht="14.25" hidden="1" customHeight="1">
      <c r="A27" s="282"/>
      <c r="B27" s="32"/>
      <c r="F27" s="11"/>
      <c r="G27" s="11"/>
      <c r="H27" s="11"/>
      <c r="I27" s="11"/>
      <c r="J27" s="11"/>
    </row>
    <row r="28" spans="1:49" ht="14.25" hidden="1" customHeight="1">
      <c r="A28" s="103"/>
      <c r="B28" s="32"/>
      <c r="F28" s="252" t="s">
        <v>4086</v>
      </c>
      <c r="G28" s="253"/>
      <c r="H28" s="254"/>
      <c r="I28" s="320" t="s">
        <v>4142</v>
      </c>
      <c r="J28" s="320"/>
      <c r="K28" s="320"/>
      <c r="L28" s="275" t="s">
        <v>4287</v>
      </c>
      <c r="M28" s="276"/>
      <c r="N28" s="276"/>
      <c r="O28" s="276"/>
      <c r="P28" s="276"/>
      <c r="Q28" s="276"/>
      <c r="R28" s="276"/>
      <c r="S28" s="276"/>
      <c r="T28" s="276"/>
      <c r="U28" s="276"/>
      <c r="V28" s="276"/>
      <c r="W28" s="276"/>
      <c r="X28" s="276"/>
      <c r="Y28" s="276"/>
      <c r="Z28" s="276"/>
      <c r="AA28" s="276"/>
      <c r="AB28" s="276"/>
      <c r="AC28" s="276"/>
      <c r="AD28" s="276"/>
      <c r="AE28" s="276"/>
      <c r="AF28" s="276"/>
      <c r="AG28" s="277"/>
    </row>
    <row r="29" spans="1:49" ht="14.25" hidden="1" customHeight="1">
      <c r="A29" s="103"/>
      <c r="B29" s="32"/>
      <c r="F29" s="255"/>
      <c r="G29" s="256"/>
      <c r="H29" s="257"/>
      <c r="I29" s="320"/>
      <c r="J29" s="320"/>
      <c r="K29" s="320"/>
      <c r="L29" s="278"/>
      <c r="M29" s="279"/>
      <c r="N29" s="279"/>
      <c r="O29" s="279"/>
      <c r="P29" s="279"/>
      <c r="Q29" s="279"/>
      <c r="R29" s="279"/>
      <c r="S29" s="279"/>
      <c r="T29" s="279"/>
      <c r="U29" s="279"/>
      <c r="V29" s="279"/>
      <c r="W29" s="279"/>
      <c r="X29" s="279"/>
      <c r="Y29" s="279"/>
      <c r="Z29" s="279"/>
      <c r="AA29" s="279"/>
      <c r="AB29" s="279"/>
      <c r="AC29" s="279"/>
      <c r="AD29" s="279"/>
      <c r="AE29" s="279"/>
      <c r="AF29" s="279"/>
      <c r="AG29" s="280"/>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21" t="s">
        <v>3494</v>
      </c>
      <c r="H33" s="321"/>
      <c r="I33" s="321"/>
      <c r="J33" s="321" t="s">
        <v>3129</v>
      </c>
      <c r="K33" s="321"/>
      <c r="L33" s="321"/>
      <c r="M33" s="321"/>
      <c r="N33" s="321"/>
      <c r="O33" s="321"/>
      <c r="P33" s="321"/>
      <c r="Q33" s="321"/>
      <c r="R33" s="321"/>
      <c r="S33" s="321"/>
      <c r="T33" s="321"/>
      <c r="U33" s="321" t="s">
        <v>159</v>
      </c>
      <c r="V33" s="321"/>
      <c r="W33" s="321"/>
      <c r="X33" s="322" t="s">
        <v>3489</v>
      </c>
      <c r="Y33" s="322"/>
      <c r="Z33" s="323"/>
      <c r="AA33" s="321" t="s">
        <v>3490</v>
      </c>
      <c r="AB33" s="321"/>
      <c r="AC33" s="321"/>
      <c r="AD33" s="321" t="s">
        <v>1352</v>
      </c>
      <c r="AE33" s="321"/>
      <c r="AF33" s="321"/>
      <c r="AG33" s="321"/>
    </row>
    <row r="34" spans="1:36" ht="45" customHeight="1">
      <c r="A34" s="103"/>
      <c r="B34" s="32"/>
      <c r="F34" s="155">
        <f>IFERROR(IF(F33="Ítem",1,ROW()-ROW(SolCotizacion!#REF!)),ROW()-ROW(SolCotizacion!#REF!))</f>
        <v>1</v>
      </c>
      <c r="G34" s="319" t="str">
        <f>+SolCotizacion!$I$28</f>
        <v>min03-P57</v>
      </c>
      <c r="H34" s="319"/>
      <c r="I34" s="319"/>
      <c r="J34" s="324" t="str">
        <f>+SolCotizacion!$L$28</f>
        <v>SOBRECARPA_según NTMD vigente</v>
      </c>
      <c r="K34" s="324"/>
      <c r="L34" s="324"/>
      <c r="M34" s="324"/>
      <c r="N34" s="324"/>
      <c r="O34" s="324"/>
      <c r="P34" s="324"/>
      <c r="Q34" s="324"/>
      <c r="R34" s="324"/>
      <c r="S34" s="324"/>
      <c r="T34" s="324"/>
      <c r="U34" s="325">
        <v>598</v>
      </c>
      <c r="V34" s="325"/>
      <c r="W34" s="325"/>
      <c r="X34" s="298">
        <f>+IFERROR(ROUND(VLOOKUP(F34&amp;"_"&amp;G34,Cat_resumido!$C:$DE,Var!$F$2-2,FALSE)/U34,2),"")</f>
        <v>148153.5</v>
      </c>
      <c r="Y34" s="298"/>
      <c r="Z34" s="298"/>
      <c r="AA34" s="298">
        <f ca="1">+IFERROR(ROUND(X34/(1-Var!$F$3),0),"")</f>
        <v>149650</v>
      </c>
      <c r="AB34" s="298"/>
      <c r="AC34" s="298"/>
      <c r="AD34" s="299">
        <f ca="1">IFERROR(ROUND(U34*AA34,2),"")</f>
        <v>89490700</v>
      </c>
      <c r="AE34" s="300"/>
      <c r="AF34" s="300"/>
      <c r="AG34" s="301"/>
    </row>
    <row r="35" spans="1:36" ht="30" customHeight="1">
      <c r="A35" s="61"/>
      <c r="B35" s="32"/>
      <c r="F35" s="11"/>
      <c r="G35" s="11"/>
      <c r="H35" s="11"/>
      <c r="I35" s="11"/>
      <c r="J35" s="11"/>
      <c r="AA35" s="201" t="s">
        <v>1323</v>
      </c>
      <c r="AB35" s="201"/>
      <c r="AC35" s="201"/>
      <c r="AD35" s="298">
        <f ca="1">+SUM(OFFSET(AA$1,0,3,MATCH("Subtotal",AA:AA,0)-1))</f>
        <v>89490700</v>
      </c>
      <c r="AE35" s="298"/>
      <c r="AF35" s="298"/>
      <c r="AG35" s="298"/>
    </row>
    <row r="36" spans="1:36" ht="30" customHeight="1">
      <c r="A36" s="61"/>
      <c r="B36" s="32"/>
      <c r="F36" s="283"/>
      <c r="G36" s="283"/>
      <c r="H36" s="283"/>
      <c r="I36" s="283"/>
      <c r="J36" s="283"/>
      <c r="K36" s="283"/>
      <c r="L36" s="283"/>
      <c r="M36" s="283"/>
      <c r="N36" s="283"/>
      <c r="O36" s="283"/>
      <c r="P36" s="283"/>
      <c r="Q36" s="283"/>
      <c r="R36" s="283"/>
      <c r="S36" s="283"/>
      <c r="T36" s="283"/>
      <c r="U36" s="283"/>
      <c r="V36" s="283"/>
      <c r="W36" s="283"/>
      <c r="X36" s="283"/>
      <c r="AA36" s="201" t="s">
        <v>1324</v>
      </c>
      <c r="AB36" s="201"/>
      <c r="AC36" s="201"/>
      <c r="AD36" s="297">
        <f ca="1">+ROUND(AD35*0.19,2)</f>
        <v>17003233</v>
      </c>
      <c r="AE36" s="297"/>
      <c r="AF36" s="297"/>
      <c r="AG36" s="297"/>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01" t="s">
        <v>1325</v>
      </c>
      <c r="AB37" s="201"/>
      <c r="AC37" s="201"/>
      <c r="AD37" s="298">
        <f ca="1">+AD36+AD35</f>
        <v>106493933</v>
      </c>
      <c r="AE37" s="298"/>
      <c r="AF37" s="298"/>
      <c r="AG37" s="298"/>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284" t="s">
        <v>4070</v>
      </c>
      <c r="G40" s="311"/>
      <c r="H40" s="311"/>
      <c r="I40" s="311"/>
      <c r="J40" s="311"/>
      <c r="K40" s="311"/>
      <c r="L40" s="311"/>
      <c r="M40" s="311"/>
      <c r="N40" s="311"/>
      <c r="O40" s="312" t="s">
        <v>1311</v>
      </c>
      <c r="P40" s="312"/>
      <c r="Q40" s="312"/>
      <c r="R40" s="312"/>
      <c r="S40" s="312"/>
      <c r="T40" s="312"/>
      <c r="U40" s="312"/>
      <c r="V40" s="312"/>
      <c r="W40" s="312"/>
      <c r="X40" s="312"/>
      <c r="Y40" s="312"/>
      <c r="Z40" s="312"/>
      <c r="AA40" s="312"/>
      <c r="AB40" s="312"/>
      <c r="AC40" s="312"/>
      <c r="AD40" s="312"/>
      <c r="AE40" s="312"/>
      <c r="AF40" s="312"/>
      <c r="AG40" s="312"/>
      <c r="AH40" s="171"/>
    </row>
    <row r="41" spans="1:36" ht="27.95" customHeight="1">
      <c r="A41" s="61"/>
      <c r="B41" s="32"/>
      <c r="F41" s="284" t="s">
        <v>3907</v>
      </c>
      <c r="G41" s="311"/>
      <c r="H41" s="311"/>
      <c r="I41" s="311"/>
      <c r="J41" s="311"/>
      <c r="K41" s="311"/>
      <c r="L41" s="311"/>
      <c r="M41" s="311"/>
      <c r="N41" s="311"/>
      <c r="O41" s="312" t="s">
        <v>8708</v>
      </c>
      <c r="P41" s="312"/>
      <c r="Q41" s="312"/>
      <c r="R41" s="312"/>
      <c r="S41" s="312"/>
      <c r="T41" s="312"/>
      <c r="U41" s="312"/>
      <c r="V41" s="312"/>
      <c r="W41" s="312"/>
      <c r="X41" s="312"/>
      <c r="Y41" s="312"/>
      <c r="Z41" s="312"/>
      <c r="AA41" s="312"/>
      <c r="AB41" s="312"/>
      <c r="AC41" s="312"/>
      <c r="AD41" s="312"/>
      <c r="AE41" s="312"/>
      <c r="AF41" s="312"/>
      <c r="AG41" s="312"/>
      <c r="AH41" s="171"/>
    </row>
    <row r="42" spans="1:36" ht="21" customHeight="1">
      <c r="A42" s="61"/>
      <c r="B42" s="32"/>
      <c r="F42" s="284" t="s">
        <v>3284</v>
      </c>
      <c r="G42" s="311"/>
      <c r="H42" s="311"/>
      <c r="I42" s="311"/>
      <c r="J42" s="311"/>
      <c r="K42" s="311"/>
      <c r="L42" s="311"/>
      <c r="M42" s="311"/>
      <c r="N42" s="311"/>
      <c r="O42" s="313" t="s">
        <v>8708</v>
      </c>
      <c r="P42" s="313"/>
      <c r="Q42" s="313"/>
      <c r="R42" s="313"/>
      <c r="S42" s="313"/>
      <c r="T42" s="313"/>
      <c r="U42" s="313"/>
      <c r="V42" s="313"/>
      <c r="W42" s="313"/>
      <c r="X42" s="313"/>
      <c r="Y42" s="313"/>
      <c r="Z42" s="313"/>
      <c r="AA42" s="313"/>
      <c r="AB42" s="313"/>
      <c r="AC42" s="313"/>
      <c r="AD42" s="313"/>
      <c r="AE42" s="313"/>
      <c r="AF42" s="313"/>
      <c r="AG42" s="313"/>
      <c r="AH42" s="171"/>
    </row>
    <row r="43" spans="1:36" ht="21" customHeight="1">
      <c r="A43" s="61"/>
      <c r="B43" s="32"/>
      <c r="F43" s="285" t="s">
        <v>3908</v>
      </c>
      <c r="G43" s="314"/>
      <c r="H43" s="314"/>
      <c r="I43" s="314"/>
      <c r="J43" s="314"/>
      <c r="K43" s="314"/>
      <c r="L43" s="314"/>
      <c r="M43" s="314"/>
      <c r="N43" s="315"/>
      <c r="O43" s="316" t="s">
        <v>8708</v>
      </c>
      <c r="P43" s="317"/>
      <c r="Q43" s="317"/>
      <c r="R43" s="317"/>
      <c r="S43" s="317"/>
      <c r="T43" s="317"/>
      <c r="U43" s="317"/>
      <c r="V43" s="317"/>
      <c r="W43" s="317"/>
      <c r="X43" s="317"/>
      <c r="Y43" s="317"/>
      <c r="Z43" s="317"/>
      <c r="AA43" s="317"/>
      <c r="AB43" s="317"/>
      <c r="AC43" s="317"/>
      <c r="AD43" s="317"/>
      <c r="AE43" s="317"/>
      <c r="AF43" s="317"/>
      <c r="AG43" s="318"/>
      <c r="AH43" s="171"/>
    </row>
    <row r="44" spans="1:36" ht="14.25" hidden="1" customHeight="1">
      <c r="A44"/>
    </row>
    <row r="45" spans="1:36" ht="30.75" customHeight="1">
      <c r="A45" s="61"/>
      <c r="B45" s="32"/>
      <c r="F45" s="226" t="s">
        <v>4071</v>
      </c>
      <c r="G45" s="226"/>
      <c r="H45" s="226"/>
      <c r="I45" s="226"/>
      <c r="J45" s="226"/>
      <c r="K45" s="226"/>
      <c r="L45" s="226"/>
      <c r="M45" s="226"/>
      <c r="N45" s="226"/>
      <c r="O45" s="227"/>
      <c r="P45" s="226"/>
      <c r="Q45" s="226"/>
      <c r="R45" s="226"/>
      <c r="S45" s="226"/>
      <c r="T45" s="226"/>
      <c r="U45" s="226"/>
      <c r="V45" s="226"/>
      <c r="W45" s="226"/>
      <c r="X45" s="226"/>
      <c r="Y45" s="226"/>
      <c r="Z45" s="226"/>
      <c r="AA45" s="226"/>
      <c r="AB45" s="226"/>
      <c r="AC45" s="226"/>
      <c r="AD45" s="226"/>
      <c r="AE45" s="226"/>
      <c r="AF45" s="226"/>
      <c r="AG45" s="226"/>
    </row>
    <row r="46" spans="1:36">
      <c r="A46" s="61"/>
      <c r="B46" s="32"/>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31" t="s">
        <v>3119</v>
      </c>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row>
    <row r="49" spans="1:33">
      <c r="A49" s="61"/>
      <c r="B49" s="32"/>
    </row>
    <row r="50" spans="1:33" ht="24" customHeight="1">
      <c r="A50" s="61"/>
      <c r="B50" s="32" t="s">
        <v>3904</v>
      </c>
      <c r="F50" s="232" t="s">
        <v>3120</v>
      </c>
      <c r="G50" s="233"/>
      <c r="H50" s="234" t="s">
        <v>3121</v>
      </c>
      <c r="I50" s="235"/>
      <c r="J50" s="235"/>
      <c r="K50" s="228" t="s">
        <v>1</v>
      </c>
      <c r="L50" s="229"/>
      <c r="M50" s="229"/>
      <c r="N50" s="229"/>
      <c r="O50" s="230"/>
      <c r="P50" s="228" t="s">
        <v>3123</v>
      </c>
      <c r="Q50" s="229"/>
      <c r="R50" s="229"/>
      <c r="S50" s="229"/>
      <c r="T50" s="229"/>
      <c r="U50" s="230"/>
      <c r="V50" s="228" t="s">
        <v>3122</v>
      </c>
      <c r="W50" s="229"/>
      <c r="X50" s="229"/>
      <c r="Y50" s="229"/>
      <c r="Z50" s="229"/>
      <c r="AA50" s="229"/>
      <c r="AB50" s="229"/>
      <c r="AC50" s="229"/>
      <c r="AD50" s="229"/>
      <c r="AE50" s="230"/>
      <c r="AF50" s="228" t="s">
        <v>159</v>
      </c>
      <c r="AG50" s="229"/>
    </row>
    <row r="51" spans="1:33">
      <c r="A51" s="61"/>
      <c r="B51" s="32"/>
      <c r="F51" s="303">
        <v>1</v>
      </c>
      <c r="G51" s="304"/>
      <c r="H51" s="305">
        <v>46219</v>
      </c>
      <c r="I51" s="305"/>
      <c r="J51" s="305"/>
      <c r="K51" s="306" t="s">
        <v>1778</v>
      </c>
      <c r="L51" s="306"/>
      <c r="M51" s="306"/>
      <c r="N51" s="306"/>
      <c r="O51" s="306"/>
      <c r="P51" s="306" t="s">
        <v>1260</v>
      </c>
      <c r="Q51" s="306"/>
      <c r="R51" s="306"/>
      <c r="S51" s="306"/>
      <c r="T51" s="306"/>
      <c r="U51" s="306"/>
      <c r="V51" s="306" t="s">
        <v>8709</v>
      </c>
      <c r="W51" s="306"/>
      <c r="X51" s="306"/>
      <c r="Y51" s="306"/>
      <c r="Z51" s="306"/>
      <c r="AA51" s="306"/>
      <c r="AB51" s="306"/>
      <c r="AC51" s="306"/>
      <c r="AD51" s="306"/>
      <c r="AE51" s="306"/>
      <c r="AF51" s="302">
        <v>100</v>
      </c>
      <c r="AG51" s="302"/>
    </row>
    <row r="52" spans="1:33">
      <c r="A52" s="61"/>
      <c r="B52" s="32"/>
      <c r="F52" s="303">
        <v>2</v>
      </c>
      <c r="G52" s="304"/>
      <c r="H52" s="305">
        <v>46219</v>
      </c>
      <c r="I52" s="305"/>
      <c r="J52" s="305"/>
      <c r="K52" s="306" t="s">
        <v>1778</v>
      </c>
      <c r="L52" s="306"/>
      <c r="M52" s="306"/>
      <c r="N52" s="306"/>
      <c r="O52" s="306"/>
      <c r="P52" s="306" t="s">
        <v>1260</v>
      </c>
      <c r="Q52" s="306"/>
      <c r="R52" s="306"/>
      <c r="S52" s="306"/>
      <c r="T52" s="306"/>
      <c r="U52" s="306"/>
      <c r="V52" s="306" t="s">
        <v>8710</v>
      </c>
      <c r="W52" s="306"/>
      <c r="X52" s="306"/>
      <c r="Y52" s="306"/>
      <c r="Z52" s="306"/>
      <c r="AA52" s="306"/>
      <c r="AB52" s="306"/>
      <c r="AC52" s="306"/>
      <c r="AD52" s="306"/>
      <c r="AE52" s="306"/>
      <c r="AF52" s="302">
        <v>498</v>
      </c>
      <c r="AG52" s="302"/>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31" t="s">
        <v>125</v>
      </c>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row>
    <row r="58" spans="1:33">
      <c r="A58" s="61"/>
      <c r="B58" s="32"/>
      <c r="F58" s="21"/>
      <c r="G58" s="21"/>
      <c r="H58" s="21"/>
      <c r="I58" s="21"/>
      <c r="J58" s="21"/>
      <c r="K58" s="21"/>
      <c r="L58" s="21"/>
      <c r="M58" s="21"/>
      <c r="N58" s="22"/>
      <c r="O58" s="22"/>
      <c r="P58" s="22"/>
      <c r="Q58" s="22"/>
    </row>
    <row r="59" spans="1:33">
      <c r="A59" s="61"/>
      <c r="B59" s="32" t="s">
        <v>124</v>
      </c>
      <c r="F59" s="59" t="s">
        <v>126</v>
      </c>
      <c r="G59" s="243" t="s">
        <v>1373</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01" t="s">
        <v>127</v>
      </c>
      <c r="AF59" s="201"/>
      <c r="AG59" s="201"/>
    </row>
    <row r="60" spans="1:33">
      <c r="A60" s="61"/>
      <c r="B60" s="32"/>
      <c r="F60" s="173">
        <v>1</v>
      </c>
      <c r="G60" s="307" t="s">
        <v>8711</v>
      </c>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8">
        <v>5.0000000000000001E-3</v>
      </c>
      <c r="AF60" s="308"/>
      <c r="AG60" s="308"/>
    </row>
    <row r="61" spans="1:33">
      <c r="A61" s="61"/>
      <c r="B61" s="32"/>
      <c r="F61" s="173">
        <v>2</v>
      </c>
      <c r="G61" s="307" t="s">
        <v>8712</v>
      </c>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8">
        <v>5.0000000000000001E-3</v>
      </c>
      <c r="AF61" s="308"/>
      <c r="AG61" s="308"/>
    </row>
    <row r="62" spans="1:33">
      <c r="A62" s="61"/>
      <c r="B62" s="32"/>
      <c r="F62" s="172"/>
      <c r="G62" s="309" t="s">
        <v>128</v>
      </c>
      <c r="H62" s="309"/>
      <c r="I62" s="309"/>
      <c r="J62" s="309"/>
      <c r="K62" s="309"/>
      <c r="L62" s="309"/>
      <c r="M62" s="309"/>
      <c r="N62" s="309"/>
      <c r="O62" s="309"/>
      <c r="P62" s="309"/>
      <c r="Q62" s="309"/>
      <c r="R62" s="309"/>
      <c r="S62" s="309"/>
      <c r="T62" s="309"/>
      <c r="U62" s="309"/>
      <c r="V62" s="309"/>
      <c r="W62" s="309"/>
      <c r="X62" s="309"/>
      <c r="Y62" s="309"/>
      <c r="Z62" s="309"/>
      <c r="AA62" s="309"/>
      <c r="AB62" s="309"/>
      <c r="AC62" s="309"/>
      <c r="AD62" s="309"/>
      <c r="AE62" s="310">
        <v>0.01</v>
      </c>
      <c r="AF62" s="310"/>
      <c r="AG62" s="310"/>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A26:A27"/>
    <mergeCell ref="A16:A17"/>
    <mergeCell ref="A18:A19"/>
    <mergeCell ref="A20:A21"/>
    <mergeCell ref="A22:A23"/>
    <mergeCell ref="A24:A25"/>
    <mergeCell ref="A5:A7"/>
    <mergeCell ref="A8:A9"/>
    <mergeCell ref="A10:A11"/>
    <mergeCell ref="A12:A13"/>
    <mergeCell ref="A14:A15"/>
    <mergeCell ref="F10:AG10"/>
    <mergeCell ref="F12:J12"/>
    <mergeCell ref="K12:S12"/>
    <mergeCell ref="T12:X12"/>
    <mergeCell ref="Y12:AG12"/>
    <mergeCell ref="F14:J14"/>
    <mergeCell ref="K14:S14"/>
    <mergeCell ref="T14:X14"/>
    <mergeCell ref="Y14:AG14"/>
    <mergeCell ref="F16:J16"/>
    <mergeCell ref="K16:S16"/>
    <mergeCell ref="T16:X16"/>
    <mergeCell ref="Y16:AG16"/>
    <mergeCell ref="K18:S18"/>
    <mergeCell ref="F20:AG20"/>
    <mergeCell ref="F22:H23"/>
    <mergeCell ref="I22:L23"/>
    <mergeCell ref="N22:P23"/>
    <mergeCell ref="Q22:S23"/>
    <mergeCell ref="U22:W23"/>
    <mergeCell ref="X22:Z23"/>
    <mergeCell ref="AB22:AD23"/>
    <mergeCell ref="AE22:AG23"/>
    <mergeCell ref="F40:N40"/>
    <mergeCell ref="O40:AG40"/>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F41:N41"/>
    <mergeCell ref="O41:AG41"/>
    <mergeCell ref="F42:N42"/>
    <mergeCell ref="O42:AG42"/>
    <mergeCell ref="F43:N43"/>
    <mergeCell ref="O43:AG43"/>
    <mergeCell ref="F45:AG46"/>
    <mergeCell ref="F48:AG48"/>
    <mergeCell ref="F50:G50"/>
    <mergeCell ref="H50:J50"/>
    <mergeCell ref="K50:O50"/>
    <mergeCell ref="P50:U50"/>
    <mergeCell ref="V50:AE50"/>
    <mergeCell ref="AF50:AG50"/>
    <mergeCell ref="G61:AD61"/>
    <mergeCell ref="AE61:AG61"/>
    <mergeCell ref="G62:AD62"/>
    <mergeCell ref="AE62:AG62"/>
    <mergeCell ref="F57:AG57"/>
    <mergeCell ref="G59:AD59"/>
    <mergeCell ref="AE59:AG59"/>
    <mergeCell ref="G60:AD60"/>
    <mergeCell ref="AE60:AG60"/>
    <mergeCell ref="AF52:AG52"/>
    <mergeCell ref="F51:G51"/>
    <mergeCell ref="H51:J51"/>
    <mergeCell ref="K51:O51"/>
    <mergeCell ref="P51:U51"/>
    <mergeCell ref="F52:G52"/>
    <mergeCell ref="H52:J52"/>
    <mergeCell ref="K52:O52"/>
    <mergeCell ref="P52:U52"/>
    <mergeCell ref="V52:AE52"/>
    <mergeCell ref="V51:AE51"/>
    <mergeCell ref="AF51:AG51"/>
    <mergeCell ref="AA36:AC36"/>
    <mergeCell ref="AD36:AG36"/>
    <mergeCell ref="AA37:AC37"/>
    <mergeCell ref="AD37:AG37"/>
    <mergeCell ref="F1:AG2"/>
    <mergeCell ref="F3:K3"/>
    <mergeCell ref="L3:AA4"/>
    <mergeCell ref="F4:K4"/>
    <mergeCell ref="F5:AG5"/>
    <mergeCell ref="X34:Z34"/>
    <mergeCell ref="AA34:AC34"/>
    <mergeCell ref="AD34:AG34"/>
    <mergeCell ref="AA35:AC35"/>
    <mergeCell ref="AD35:AG35"/>
    <mergeCell ref="F36:X36"/>
    <mergeCell ref="F18:J18"/>
  </mergeCells>
  <phoneticPr fontId="23" type="noConversion"/>
  <dataValidations count="18">
    <dataValidation type="date" operator="greaterThanOrEqual" allowBlank="1" showInputMessage="1" showErrorMessage="1" errorTitle="Error" error="Fecha no válida" sqref="H51:H53" xr:uid="{8AC144D5-2443-4F14-A4A6-1C60CA68037D}">
      <formula1>TODAY()</formula1>
    </dataValidation>
    <dataValidation type="custom" allowBlank="1" showInputMessage="1" showErrorMessage="1" errorTitle="Porcentaje" error="Por favor digite un valor entre 0% y 100% y con máximo dos dígitos decimales." sqref="AE60:AG61" xr:uid="{A82AFCB9-AF71-462E-90D0-3549D025E3EA}">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5C0B1C1D-BED1-4EDB-A95B-7C8FF3A1630F}">
      <formula1>AND(ROUND(AE22,2)=AE22, AE22&gt;=1)</formula1>
    </dataValidation>
    <dataValidation type="decimal" allowBlank="1" showInputMessage="1" showErrorMessage="1" errorTitle="Porcentaje" error="Por favor digite un valor entre 0% y 100%" sqref="AE62" xr:uid="{4F87C4F9-7180-4AC4-B9A3-6DC1B6626807}">
      <formula1>0</formula1>
      <formula2>1</formula2>
    </dataValidation>
    <dataValidation type="list" allowBlank="1" showInputMessage="1" showErrorMessage="1" sqref="O40" xr:uid="{2D7FF21C-81BE-4D18-9574-275E3CFBD02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86BC5379-0ED0-4F48-9965-BD3B71084284}">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A0DDA618-288E-4654-BCA9-BF9A4C02279C}">
      <formula1>departamentos_DIVIPOLA</formula1>
    </dataValidation>
    <dataValidation type="whole" operator="greaterThan" allowBlank="1" showInputMessage="1" showErrorMessage="1" errorTitle="Error" error="Valor no válido" sqref="AB53 AF51:AF52" xr:uid="{BD738EB2-70FB-4DBA-B319-886FC8C29636}">
      <formula1>0</formula1>
    </dataValidation>
    <dataValidation type="list" allowBlank="1" showInputMessage="1" showErrorMessage="1" sqref="S53" xr:uid="{BEFAB81D-D31E-4D14-941D-69EFD41F8F8F}">
      <formula1>Deptos</formula1>
    </dataValidation>
    <dataValidation type="list" allowBlank="1" showInputMessage="1" showErrorMessage="1" sqref="I22:L23" xr:uid="{54FE2E7A-8273-4E0E-8ED3-980399094192}">
      <formula1>"COMPRAVENTA,MONTO AGOTABLE"</formula1>
    </dataValidation>
    <dataValidation type="list" allowBlank="1" showInputMessage="1" showErrorMessage="1" sqref="X22:Z23" xr:uid="{ACA1FC78-0A32-4FD0-8396-522C33364977}">
      <formula1>L3_region</formula1>
    </dataValidation>
    <dataValidation type="list" allowBlank="1" showInputMessage="1" showErrorMessage="1" sqref="I28:K29" xr:uid="{C2B72FDA-A49A-46D7-98E4-6319DCE37E09}">
      <formula1>L3_cod_raiz_productos</formula1>
    </dataValidation>
    <dataValidation type="list" allowBlank="1" showInputMessage="1" showErrorMessage="1" sqref="Q22:S23" xr:uid="{49C7F197-0F07-43FE-98E0-C8720B3EC102}">
      <formula1>"SI,NO"</formula1>
    </dataValidation>
    <dataValidation type="list" allowBlank="1" showInputMessage="1" showErrorMessage="1" sqref="N58:Q58" xr:uid="{8967E18B-4A21-4E7C-9435-957DB67E4B21}">
      <formula1>A1_Lista_SF</formula1>
    </dataValidation>
    <dataValidation type="whole" allowBlank="1" showInputMessage="1" showErrorMessage="1" errorTitle="Nit" error="Por favor digite el NIT sin digito de verificación._x000a__x000a_Tenga en cuenta que como máximo se permiten 15 caracteres" sqref="Y12:AG12" xr:uid="{FEF2CE5E-13F3-44E8-A821-1C5DC89C32D3}">
      <formula1>0</formula1>
      <formula2>999999999999999</formula2>
    </dataValidation>
    <dataValidation type="custom" allowBlank="1" showInputMessage="1" showErrorMessage="1" errorTitle="Correo" error="Por favor ingrese un correo que contenga @" sqref="K18:S18" xr:uid="{C6960F98-934C-4E28-BBF9-7FFEF272A46F}">
      <formula1>SEARCH("@",$K$18)&gt;=0</formula1>
    </dataValidation>
    <dataValidation type="whole" allowBlank="1" showInputMessage="1" showErrorMessage="1" errorTitle="Teléfono de contacto" error="Por favor digite el teléfono de contacto." sqref="Y16:AG16" xr:uid="{E156E378-ECD5-4CDB-AB0B-036E1384F0A1}">
      <formula1>0</formula1>
      <formula2>999999999999</formula2>
    </dataValidation>
    <dataValidation type="decimal" operator="greaterThanOrEqual" allowBlank="1" showInputMessage="1" showErrorMessage="1" errorTitle="Valor IVA" error="Por favor ingrese un valor de IVA válido" sqref="AD36:AG36" xr:uid="{F46E582C-3B07-4425-9525-2B431316D644}">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F3A23878-C072-442F-A744-66C79657BBD4}"/>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B1B26A5D-20A1-4DE5-A9B1-2A78F1FE2BF6}"/>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E7C0C55-CAFB-4C3F-9760-885A1DC96DDB}">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AL37" sqref="AL37"/>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45" t="s">
        <v>1389</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row>
    <row r="2" spans="1:33" ht="14.25" customHeight="1">
      <c r="A2" s="61"/>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3" ht="14.25" customHeight="1">
      <c r="A3" s="62"/>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3" ht="14.25" customHeight="1">
      <c r="A4" s="63"/>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3" ht="10.5" hidden="1" customHeight="1">
      <c r="A5" s="217" t="s">
        <v>170</v>
      </c>
      <c r="F5" s="247" t="s">
        <v>3909</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3" ht="14.25" customHeight="1">
      <c r="A6" s="218"/>
    </row>
    <row r="7" spans="1:33" ht="14.25" hidden="1" customHeight="1">
      <c r="A7" s="219"/>
    </row>
    <row r="8" spans="1:33" ht="14.25" hidden="1" customHeight="1">
      <c r="A8" s="220" t="s">
        <v>162</v>
      </c>
    </row>
    <row r="9" spans="1:33" ht="14.25" hidden="1" customHeight="1">
      <c r="A9" s="221"/>
    </row>
    <row r="10" spans="1:33" ht="27.95" customHeight="1">
      <c r="A10" s="222" t="s">
        <v>163</v>
      </c>
      <c r="B10" s="32"/>
      <c r="F10" s="231" t="s">
        <v>105</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3" ht="4.5" customHeight="1">
      <c r="A11" s="222"/>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3" t="s">
        <v>259</v>
      </c>
      <c r="B12" s="32"/>
      <c r="F12" s="205" t="s">
        <v>106</v>
      </c>
      <c r="G12" s="206"/>
      <c r="H12" s="206"/>
      <c r="I12" s="206"/>
      <c r="J12" s="207"/>
      <c r="K12" s="341" t="s">
        <v>8688</v>
      </c>
      <c r="L12" s="342"/>
      <c r="M12" s="342"/>
      <c r="N12" s="342"/>
      <c r="O12" s="342"/>
      <c r="P12" s="342"/>
      <c r="Q12" s="342"/>
      <c r="R12" s="342"/>
      <c r="S12" s="342"/>
      <c r="T12" s="203" t="s">
        <v>107</v>
      </c>
      <c r="U12" s="204"/>
      <c r="V12" s="204"/>
      <c r="W12" s="204"/>
      <c r="X12" s="204"/>
      <c r="Y12" s="344">
        <v>800130690</v>
      </c>
      <c r="Z12" s="344"/>
      <c r="AA12" s="344"/>
      <c r="AB12" s="344"/>
      <c r="AC12" s="344"/>
      <c r="AD12" s="344"/>
      <c r="AE12" s="344"/>
      <c r="AF12" s="344"/>
      <c r="AG12" s="344"/>
    </row>
    <row r="13" spans="1:33" ht="3.75" customHeight="1">
      <c r="A13" s="223"/>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25" t="s">
        <v>164</v>
      </c>
      <c r="B14" s="32"/>
      <c r="F14" s="205" t="s">
        <v>108</v>
      </c>
      <c r="G14" s="206"/>
      <c r="H14" s="206"/>
      <c r="I14" s="206"/>
      <c r="J14" s="207"/>
      <c r="K14" s="341" t="s">
        <v>8689</v>
      </c>
      <c r="L14" s="342"/>
      <c r="M14" s="342"/>
      <c r="N14" s="342"/>
      <c r="O14" s="342"/>
      <c r="P14" s="342"/>
      <c r="Q14" s="342"/>
      <c r="R14" s="342"/>
      <c r="S14" s="342"/>
      <c r="T14" s="205" t="s">
        <v>156</v>
      </c>
      <c r="U14" s="206"/>
      <c r="V14" s="206"/>
      <c r="W14" s="206"/>
      <c r="X14" s="206"/>
      <c r="Y14" s="343" t="s">
        <v>2866</v>
      </c>
      <c r="Z14" s="343"/>
      <c r="AA14" s="343"/>
      <c r="AB14" s="343"/>
      <c r="AC14" s="343"/>
      <c r="AD14" s="343"/>
      <c r="AE14" s="343"/>
      <c r="AF14" s="343"/>
      <c r="AG14" s="343"/>
    </row>
    <row r="15" spans="1:33" ht="2.25" customHeight="1">
      <c r="A15" s="225"/>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24" t="s">
        <v>165</v>
      </c>
      <c r="B16" s="32"/>
      <c r="F16" s="203" t="s">
        <v>110</v>
      </c>
      <c r="G16" s="204"/>
      <c r="H16" s="204"/>
      <c r="I16" s="204"/>
      <c r="J16" s="204"/>
      <c r="K16" s="341" t="s">
        <v>8690</v>
      </c>
      <c r="L16" s="342"/>
      <c r="M16" s="342"/>
      <c r="N16" s="342"/>
      <c r="O16" s="342"/>
      <c r="P16" s="342"/>
      <c r="Q16" s="342"/>
      <c r="R16" s="342"/>
      <c r="S16" s="342"/>
      <c r="T16" s="215" t="s">
        <v>109</v>
      </c>
      <c r="U16" s="216"/>
      <c r="V16" s="216"/>
      <c r="W16" s="216"/>
      <c r="X16" s="216"/>
      <c r="Y16" s="344">
        <v>3234801420</v>
      </c>
      <c r="Z16" s="344"/>
      <c r="AA16" s="344"/>
      <c r="AB16" s="344"/>
      <c r="AC16" s="344"/>
      <c r="AD16" s="344"/>
      <c r="AE16" s="344"/>
      <c r="AF16" s="344"/>
      <c r="AG16" s="344"/>
    </row>
    <row r="17" spans="1:49" ht="3" customHeight="1">
      <c r="A17" s="22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25" t="s">
        <v>166</v>
      </c>
      <c r="B18" s="71"/>
      <c r="F18" s="211" t="s">
        <v>111</v>
      </c>
      <c r="G18" s="212"/>
      <c r="H18" s="212"/>
      <c r="I18" s="212"/>
      <c r="J18" s="212"/>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25"/>
      <c r="B19" s="32"/>
      <c r="F19" s="11"/>
      <c r="G19" s="11"/>
      <c r="H19" s="11"/>
      <c r="I19" s="11"/>
      <c r="J19" s="11"/>
    </row>
    <row r="20" spans="1:49" ht="27.95" customHeight="1">
      <c r="A20" s="224" t="s">
        <v>167</v>
      </c>
      <c r="B20" s="32"/>
      <c r="F20" s="231" t="s">
        <v>3125</v>
      </c>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row>
    <row r="21" spans="1:49" ht="4.5" customHeight="1">
      <c r="A21" s="221"/>
      <c r="B21" s="32"/>
    </row>
    <row r="22" spans="1:49" ht="13.9" customHeight="1">
      <c r="A22" s="225" t="s">
        <v>1366</v>
      </c>
      <c r="B22" s="69"/>
      <c r="C22" s="16"/>
      <c r="D22" s="16"/>
      <c r="F22" s="252" t="s">
        <v>3126</v>
      </c>
      <c r="G22" s="253"/>
      <c r="H22" s="254"/>
      <c r="I22" s="329" t="s">
        <v>8692</v>
      </c>
      <c r="J22" s="330"/>
      <c r="K22" s="330"/>
      <c r="L22" s="331"/>
      <c r="M22" s="17"/>
      <c r="N22" s="252" t="s">
        <v>3918</v>
      </c>
      <c r="O22" s="253"/>
      <c r="P22" s="254"/>
      <c r="Q22" s="329" t="s">
        <v>240</v>
      </c>
      <c r="R22" s="330"/>
      <c r="S22" s="331"/>
      <c r="T22" s="17"/>
      <c r="U22" s="252" t="s">
        <v>276</v>
      </c>
      <c r="V22" s="253"/>
      <c r="W22" s="254"/>
      <c r="X22" s="329" t="s">
        <v>8715</v>
      </c>
      <c r="Y22" s="330"/>
      <c r="Z22" s="331"/>
      <c r="AA22" s="17"/>
      <c r="AB22" s="252" t="s">
        <v>112</v>
      </c>
      <c r="AC22" s="253"/>
      <c r="AD22" s="254"/>
      <c r="AE22" s="335">
        <v>67155400</v>
      </c>
      <c r="AF22" s="336"/>
      <c r="AG22" s="337"/>
    </row>
    <row r="23" spans="1:49" ht="14.25" customHeight="1">
      <c r="A23" s="281"/>
      <c r="B23" s="32"/>
      <c r="F23" s="255"/>
      <c r="G23" s="256"/>
      <c r="H23" s="257"/>
      <c r="I23" s="332"/>
      <c r="J23" s="333"/>
      <c r="K23" s="333"/>
      <c r="L23" s="334"/>
      <c r="M23" s="17"/>
      <c r="N23" s="255"/>
      <c r="O23" s="256"/>
      <c r="P23" s="257"/>
      <c r="Q23" s="332"/>
      <c r="R23" s="333"/>
      <c r="S23" s="334"/>
      <c r="T23" s="17"/>
      <c r="U23" s="255"/>
      <c r="V23" s="256"/>
      <c r="W23" s="257"/>
      <c r="X23" s="332"/>
      <c r="Y23" s="333"/>
      <c r="Z23" s="334"/>
      <c r="AA23" s="17"/>
      <c r="AB23" s="255"/>
      <c r="AC23" s="256"/>
      <c r="AD23" s="257"/>
      <c r="AE23" s="338"/>
      <c r="AF23" s="339"/>
      <c r="AG23" s="340"/>
    </row>
    <row r="24" spans="1:49" ht="15" customHeight="1">
      <c r="A24" s="271"/>
      <c r="B24" s="32"/>
      <c r="F24" s="11"/>
      <c r="G24" s="11"/>
      <c r="H24" s="11"/>
      <c r="I24" s="11"/>
      <c r="J24" s="11"/>
    </row>
    <row r="25" spans="1:49" ht="45" customHeight="1">
      <c r="A25" s="271"/>
      <c r="B25" s="32"/>
      <c r="F25" s="272" t="s">
        <v>8716</v>
      </c>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4"/>
    </row>
    <row r="26" spans="1:49" ht="14.25" customHeight="1">
      <c r="A26" s="282"/>
      <c r="B26" s="32"/>
    </row>
    <row r="27" spans="1:49" ht="14.25" hidden="1" customHeight="1">
      <c r="A27" s="282"/>
      <c r="B27" s="32"/>
      <c r="F27" s="11"/>
      <c r="G27" s="11"/>
      <c r="H27" s="11"/>
      <c r="I27" s="11"/>
      <c r="J27" s="11"/>
    </row>
    <row r="28" spans="1:49" ht="14.25" hidden="1" customHeight="1">
      <c r="A28" s="103"/>
      <c r="B28" s="32"/>
      <c r="F28" s="252" t="s">
        <v>4086</v>
      </c>
      <c r="G28" s="253"/>
      <c r="H28" s="254"/>
      <c r="I28" s="320"/>
      <c r="J28" s="320"/>
      <c r="K28" s="320"/>
      <c r="L28" s="275" t="s">
        <v>4287</v>
      </c>
      <c r="M28" s="276"/>
      <c r="N28" s="276"/>
      <c r="O28" s="276"/>
      <c r="P28" s="276"/>
      <c r="Q28" s="276"/>
      <c r="R28" s="276"/>
      <c r="S28" s="276"/>
      <c r="T28" s="276"/>
      <c r="U28" s="276"/>
      <c r="V28" s="276"/>
      <c r="W28" s="276"/>
      <c r="X28" s="276"/>
      <c r="Y28" s="276"/>
      <c r="Z28" s="276"/>
      <c r="AA28" s="276"/>
      <c r="AB28" s="276"/>
      <c r="AC28" s="276"/>
      <c r="AD28" s="276"/>
      <c r="AE28" s="276"/>
      <c r="AF28" s="276"/>
      <c r="AG28" s="277"/>
    </row>
    <row r="29" spans="1:49" ht="14.25" hidden="1" customHeight="1">
      <c r="A29" s="103"/>
      <c r="B29" s="32"/>
      <c r="F29" s="255"/>
      <c r="G29" s="256"/>
      <c r="H29" s="257"/>
      <c r="I29" s="320"/>
      <c r="J29" s="320"/>
      <c r="K29" s="320"/>
      <c r="L29" s="278"/>
      <c r="M29" s="279"/>
      <c r="N29" s="279"/>
      <c r="O29" s="279"/>
      <c r="P29" s="279"/>
      <c r="Q29" s="279"/>
      <c r="R29" s="279"/>
      <c r="S29" s="279"/>
      <c r="T29" s="279"/>
      <c r="U29" s="279"/>
      <c r="V29" s="279"/>
      <c r="W29" s="279"/>
      <c r="X29" s="279"/>
      <c r="Y29" s="279"/>
      <c r="Z29" s="279"/>
      <c r="AA29" s="279"/>
      <c r="AB29" s="279"/>
      <c r="AC29" s="279"/>
      <c r="AD29" s="279"/>
      <c r="AE29" s="279"/>
      <c r="AF29" s="279"/>
      <c r="AG29" s="280"/>
    </row>
    <row r="30" spans="1:49" ht="5.25" hidden="1" customHeight="1">
      <c r="A30" s="103"/>
      <c r="B30" s="32"/>
    </row>
    <row r="31" spans="1:49" ht="14.25" hidden="1" customHeight="1">
      <c r="A31" s="103"/>
      <c r="B31" s="32"/>
    </row>
    <row r="32" spans="1:49" ht="30" customHeight="1" thickBot="1">
      <c r="A32" s="103"/>
      <c r="B32" s="32"/>
      <c r="F32" s="348" t="s">
        <v>145</v>
      </c>
      <c r="G32" s="349"/>
      <c r="H32" s="349"/>
      <c r="I32" s="350" t="s">
        <v>4176</v>
      </c>
      <c r="J32" s="350"/>
      <c r="K32" s="350"/>
      <c r="L32" s="350"/>
      <c r="M32" s="350"/>
      <c r="N32" s="350"/>
      <c r="O32" s="350"/>
      <c r="P32" s="350"/>
      <c r="Q32" s="350"/>
      <c r="R32" s="350"/>
      <c r="S32" s="350"/>
      <c r="T32" s="348" t="s">
        <v>3916</v>
      </c>
      <c r="U32" s="349"/>
      <c r="V32" s="349"/>
      <c r="W32" s="354" t="str">
        <f>+IFERROR(VLOOKUP(Cotizacion!$I$32,Cat_Filtro2!$E:$L,8,FALSE),"")</f>
        <v>REGION 7</v>
      </c>
      <c r="X32" s="355"/>
      <c r="Y32" s="355"/>
      <c r="Z32" s="356"/>
    </row>
    <row r="33" spans="1:47" ht="39.950000000000003" customHeight="1" thickBot="1">
      <c r="A33" s="103"/>
      <c r="B33" s="32" t="s">
        <v>130</v>
      </c>
      <c r="F33" s="154" t="s">
        <v>263</v>
      </c>
      <c r="G33" s="321" t="s">
        <v>3494</v>
      </c>
      <c r="H33" s="321"/>
      <c r="I33" s="321"/>
      <c r="J33" s="321" t="s">
        <v>3129</v>
      </c>
      <c r="K33" s="321"/>
      <c r="L33" s="321"/>
      <c r="M33" s="321"/>
      <c r="N33" s="321"/>
      <c r="O33" s="321"/>
      <c r="P33" s="321"/>
      <c r="Q33" s="321"/>
      <c r="R33" s="321"/>
      <c r="S33" s="321"/>
      <c r="T33" s="321"/>
      <c r="U33" s="321" t="s">
        <v>159</v>
      </c>
      <c r="V33" s="321"/>
      <c r="W33" s="321"/>
      <c r="X33" s="347" t="s">
        <v>3924</v>
      </c>
      <c r="Y33" s="347"/>
      <c r="Z33" s="347"/>
      <c r="AA33" s="347" t="s">
        <v>1449</v>
      </c>
      <c r="AB33" s="347"/>
      <c r="AC33" s="347"/>
      <c r="AD33" s="347" t="s">
        <v>1351</v>
      </c>
      <c r="AE33" s="347"/>
      <c r="AF33" s="347" t="s">
        <v>1648</v>
      </c>
      <c r="AG33" s="347"/>
      <c r="AH33" s="347"/>
      <c r="AI33" s="347" t="s">
        <v>1352</v>
      </c>
      <c r="AJ33" s="347"/>
      <c r="AK33" s="347"/>
      <c r="AL33" s="347" t="s">
        <v>1324</v>
      </c>
      <c r="AM33" s="347"/>
      <c r="AN33" s="347" t="s">
        <v>1450</v>
      </c>
      <c r="AO33" s="347"/>
      <c r="AP33" s="347" t="s">
        <v>1354</v>
      </c>
      <c r="AQ33" s="347"/>
      <c r="AR33" s="347"/>
      <c r="AS33" s="347" t="s">
        <v>1353</v>
      </c>
      <c r="AT33" s="347"/>
      <c r="AU33" s="347"/>
    </row>
    <row r="34" spans="1:47" ht="77.099999999999994" customHeight="1">
      <c r="A34" s="103"/>
      <c r="B34" s="32"/>
      <c r="F34" s="174">
        <f>IFERROR(IF(F33="Ítem",1,ROW()-ROW(SolCotizacion!#REF!)),ROW()-ROW(SolCotizacion!#REF!))</f>
        <v>1</v>
      </c>
      <c r="G34" s="351" t="str">
        <f>+SolCotizacion!$I$28</f>
        <v>min03-P57</v>
      </c>
      <c r="H34" s="351"/>
      <c r="I34" s="351"/>
      <c r="J34" s="352" t="str">
        <f>+SolCotizacion!$L$28</f>
        <v>SOBRECARPA_según NTMD vigente</v>
      </c>
      <c r="K34" s="352"/>
      <c r="L34" s="352"/>
      <c r="M34" s="352"/>
      <c r="N34" s="352"/>
      <c r="O34" s="352"/>
      <c r="P34" s="352"/>
      <c r="Q34" s="352"/>
      <c r="R34" s="352"/>
      <c r="S34" s="352"/>
      <c r="T34" s="352"/>
      <c r="U34" s="353">
        <v>598</v>
      </c>
      <c r="V34" s="353"/>
      <c r="W34" s="353"/>
      <c r="X34" s="299">
        <f>+IFERROR(ROUND(VLOOKUP(F34&amp;"_"&amp;G34,Cat_resumido!$C:$CZ,Var!$F$6-2,FALSE)/U34,2),"")</f>
        <v>334018.8</v>
      </c>
      <c r="Y34" s="300"/>
      <c r="Z34" s="301"/>
      <c r="AA34" s="298">
        <f ca="1">+IFERROR(ROUND(X34/(1-Var!$F$3),2),"")</f>
        <v>337392.73</v>
      </c>
      <c r="AB34" s="298"/>
      <c r="AC34" s="298"/>
      <c r="AD34" s="346">
        <v>0.2</v>
      </c>
      <c r="AE34" s="346"/>
      <c r="AF34" s="298">
        <f ca="1">IFERROR(ROUND(AA34*(1-AD34),2),"")</f>
        <v>269914.18</v>
      </c>
      <c r="AG34" s="298"/>
      <c r="AH34" s="298"/>
      <c r="AI34" s="298">
        <f ca="1">IFERROR(ROUND(AF34*U34,2),"")</f>
        <v>161408679.63999999</v>
      </c>
      <c r="AJ34" s="298"/>
      <c r="AK34" s="298"/>
      <c r="AL34" s="345" t="s">
        <v>240</v>
      </c>
      <c r="AM34" s="345"/>
      <c r="AN34" s="346">
        <v>0.19</v>
      </c>
      <c r="AO34" s="346"/>
      <c r="AP34" s="298">
        <f ca="1">+IFERROR(IF(AL34="SI",ROUND(AI34*AN34,2),0),"")</f>
        <v>30667649.129999999</v>
      </c>
      <c r="AQ34" s="298"/>
      <c r="AR34" s="298"/>
      <c r="AS34" s="298">
        <f ca="1">+IFERROR(ROUND(AI34+AP34,2),"")</f>
        <v>192076328.77000001</v>
      </c>
      <c r="AT34" s="298"/>
      <c r="AU34" s="298"/>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284" t="s">
        <v>4070</v>
      </c>
      <c r="G38" s="311"/>
      <c r="H38" s="311"/>
      <c r="I38" s="311"/>
      <c r="J38" s="311"/>
      <c r="K38" s="311"/>
      <c r="L38" s="311"/>
      <c r="M38" s="311"/>
      <c r="N38" s="311"/>
      <c r="O38" s="312" t="s">
        <v>1311</v>
      </c>
      <c r="P38" s="312"/>
      <c r="Q38" s="312"/>
      <c r="R38" s="312"/>
      <c r="S38" s="312"/>
      <c r="T38" s="312"/>
      <c r="U38" s="312"/>
      <c r="V38" s="312"/>
      <c r="W38" s="312"/>
      <c r="X38" s="312"/>
      <c r="Y38" s="312"/>
      <c r="Z38" s="312"/>
      <c r="AA38" s="312"/>
      <c r="AB38" s="312"/>
      <c r="AC38" s="312"/>
      <c r="AD38" s="312"/>
      <c r="AE38" s="312"/>
      <c r="AF38" s="312"/>
      <c r="AG38" s="312"/>
      <c r="AH38" s="171"/>
    </row>
    <row r="39" spans="1:47" ht="27.95" customHeight="1">
      <c r="A39" s="61"/>
      <c r="B39" s="32"/>
      <c r="F39" s="284" t="s">
        <v>3907</v>
      </c>
      <c r="G39" s="311"/>
      <c r="H39" s="311"/>
      <c r="I39" s="311"/>
      <c r="J39" s="311"/>
      <c r="K39" s="311"/>
      <c r="L39" s="311"/>
      <c r="M39" s="311"/>
      <c r="N39" s="311"/>
      <c r="O39" s="312" t="s">
        <v>8708</v>
      </c>
      <c r="P39" s="312"/>
      <c r="Q39" s="312"/>
      <c r="R39" s="312"/>
      <c r="S39" s="312"/>
      <c r="T39" s="312"/>
      <c r="U39" s="312"/>
      <c r="V39" s="312"/>
      <c r="W39" s="312"/>
      <c r="X39" s="312"/>
      <c r="Y39" s="312"/>
      <c r="Z39" s="312"/>
      <c r="AA39" s="312"/>
      <c r="AB39" s="312"/>
      <c r="AC39" s="312"/>
      <c r="AD39" s="312"/>
      <c r="AE39" s="312"/>
      <c r="AF39" s="312"/>
      <c r="AG39" s="312"/>
      <c r="AH39" s="171"/>
    </row>
    <row r="40" spans="1:47" ht="21" customHeight="1">
      <c r="A40" s="61"/>
      <c r="B40" s="32"/>
      <c r="F40" s="284" t="s">
        <v>3284</v>
      </c>
      <c r="G40" s="311"/>
      <c r="H40" s="311"/>
      <c r="I40" s="311"/>
      <c r="J40" s="311"/>
      <c r="K40" s="311"/>
      <c r="L40" s="311"/>
      <c r="M40" s="311"/>
      <c r="N40" s="311"/>
      <c r="O40" s="313" t="s">
        <v>8708</v>
      </c>
      <c r="P40" s="313"/>
      <c r="Q40" s="313"/>
      <c r="R40" s="313"/>
      <c r="S40" s="313"/>
      <c r="T40" s="313"/>
      <c r="U40" s="313"/>
      <c r="V40" s="313"/>
      <c r="W40" s="313"/>
      <c r="X40" s="313"/>
      <c r="Y40" s="313"/>
      <c r="Z40" s="313"/>
      <c r="AA40" s="313"/>
      <c r="AB40" s="313"/>
      <c r="AC40" s="313"/>
      <c r="AD40" s="313"/>
      <c r="AE40" s="313"/>
      <c r="AF40" s="313"/>
      <c r="AG40" s="313"/>
      <c r="AH40" s="171"/>
    </row>
    <row r="41" spans="1:47" ht="21" customHeight="1">
      <c r="A41" s="61"/>
      <c r="B41" s="32"/>
      <c r="F41" s="285" t="s">
        <v>3908</v>
      </c>
      <c r="G41" s="314"/>
      <c r="H41" s="314"/>
      <c r="I41" s="314"/>
      <c r="J41" s="314"/>
      <c r="K41" s="314"/>
      <c r="L41" s="314"/>
      <c r="M41" s="314"/>
      <c r="N41" s="315"/>
      <c r="O41" s="316" t="s">
        <v>8708</v>
      </c>
      <c r="P41" s="317"/>
      <c r="Q41" s="317"/>
      <c r="R41" s="317"/>
      <c r="S41" s="317"/>
      <c r="T41" s="317"/>
      <c r="U41" s="317"/>
      <c r="V41" s="317"/>
      <c r="W41" s="317"/>
      <c r="X41" s="317"/>
      <c r="Y41" s="317"/>
      <c r="Z41" s="317"/>
      <c r="AA41" s="317"/>
      <c r="AB41" s="317"/>
      <c r="AC41" s="317"/>
      <c r="AD41" s="317"/>
      <c r="AE41" s="317"/>
      <c r="AF41" s="317"/>
      <c r="AG41" s="318"/>
      <c r="AH41" s="171"/>
    </row>
    <row r="42" spans="1:47" ht="14.25" hidden="1" customHeight="1">
      <c r="A42"/>
    </row>
    <row r="43" spans="1:47" ht="30.75" customHeight="1">
      <c r="A43" s="61"/>
      <c r="B43" s="32"/>
      <c r="F43" s="226" t="s">
        <v>4071</v>
      </c>
      <c r="G43" s="226"/>
      <c r="H43" s="226"/>
      <c r="I43" s="226"/>
      <c r="J43" s="226"/>
      <c r="K43" s="226"/>
      <c r="L43" s="226"/>
      <c r="M43" s="226"/>
      <c r="N43" s="226"/>
      <c r="O43" s="227"/>
      <c r="P43" s="226"/>
      <c r="Q43" s="226"/>
      <c r="R43" s="226"/>
      <c r="S43" s="226"/>
      <c r="T43" s="226"/>
      <c r="U43" s="226"/>
      <c r="V43" s="226"/>
      <c r="W43" s="226"/>
      <c r="X43" s="226"/>
      <c r="Y43" s="226"/>
      <c r="Z43" s="226"/>
      <c r="AA43" s="226"/>
      <c r="AB43" s="226"/>
      <c r="AC43" s="226"/>
      <c r="AD43" s="226"/>
      <c r="AE43" s="226"/>
      <c r="AF43" s="226"/>
      <c r="AG43" s="226"/>
    </row>
    <row r="44" spans="1:47">
      <c r="A44" s="61"/>
      <c r="B44" s="32"/>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31" t="s">
        <v>3119</v>
      </c>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E46" s="231"/>
      <c r="AF46" s="231"/>
      <c r="AG46" s="231"/>
    </row>
    <row r="47" spans="1:47">
      <c r="A47" s="61"/>
      <c r="B47" s="32"/>
    </row>
    <row r="48" spans="1:47" ht="24" customHeight="1">
      <c r="A48" s="61"/>
      <c r="B48" s="32" t="s">
        <v>3904</v>
      </c>
      <c r="F48" s="232" t="s">
        <v>3120</v>
      </c>
      <c r="G48" s="233"/>
      <c r="H48" s="234" t="s">
        <v>3121</v>
      </c>
      <c r="I48" s="235"/>
      <c r="J48" s="235"/>
      <c r="K48" s="228" t="s">
        <v>1</v>
      </c>
      <c r="L48" s="229"/>
      <c r="M48" s="229"/>
      <c r="N48" s="229"/>
      <c r="O48" s="230"/>
      <c r="P48" s="228" t="s">
        <v>3123</v>
      </c>
      <c r="Q48" s="229"/>
      <c r="R48" s="229"/>
      <c r="S48" s="229"/>
      <c r="T48" s="229"/>
      <c r="U48" s="230"/>
      <c r="V48" s="228" t="s">
        <v>3122</v>
      </c>
      <c r="W48" s="229"/>
      <c r="X48" s="229"/>
      <c r="Y48" s="229"/>
      <c r="Z48" s="229"/>
      <c r="AA48" s="229"/>
      <c r="AB48" s="229"/>
      <c r="AC48" s="229"/>
      <c r="AD48" s="229"/>
      <c r="AE48" s="230"/>
      <c r="AF48" s="228" t="s">
        <v>159</v>
      </c>
      <c r="AG48" s="229"/>
    </row>
    <row r="49" spans="1:33">
      <c r="A49" s="61"/>
      <c r="B49" s="32"/>
      <c r="F49" s="303">
        <v>1</v>
      </c>
      <c r="G49" s="304"/>
      <c r="H49" s="305">
        <v>46219</v>
      </c>
      <c r="I49" s="305"/>
      <c r="J49" s="305"/>
      <c r="K49" s="306" t="s">
        <v>1778</v>
      </c>
      <c r="L49" s="306"/>
      <c r="M49" s="306"/>
      <c r="N49" s="306"/>
      <c r="O49" s="306"/>
      <c r="P49" s="306" t="s">
        <v>1260</v>
      </c>
      <c r="Q49" s="306"/>
      <c r="R49" s="306"/>
      <c r="S49" s="306"/>
      <c r="T49" s="306"/>
      <c r="U49" s="306"/>
      <c r="V49" s="306" t="s">
        <v>8709</v>
      </c>
      <c r="W49" s="306"/>
      <c r="X49" s="306"/>
      <c r="Y49" s="306"/>
      <c r="Z49" s="306"/>
      <c r="AA49" s="306"/>
      <c r="AB49" s="306"/>
      <c r="AC49" s="306"/>
      <c r="AD49" s="306"/>
      <c r="AE49" s="306"/>
      <c r="AF49" s="302">
        <v>100</v>
      </c>
      <c r="AG49" s="302"/>
    </row>
    <row r="50" spans="1:33">
      <c r="A50" s="61"/>
      <c r="B50" s="32"/>
      <c r="F50" s="303">
        <v>2</v>
      </c>
      <c r="G50" s="304"/>
      <c r="H50" s="305">
        <v>46219</v>
      </c>
      <c r="I50" s="305"/>
      <c r="J50" s="305"/>
      <c r="K50" s="306" t="s">
        <v>1778</v>
      </c>
      <c r="L50" s="306"/>
      <c r="M50" s="306"/>
      <c r="N50" s="306"/>
      <c r="O50" s="306"/>
      <c r="P50" s="306" t="s">
        <v>1260</v>
      </c>
      <c r="Q50" s="306"/>
      <c r="R50" s="306"/>
      <c r="S50" s="306"/>
      <c r="T50" s="306"/>
      <c r="U50" s="306"/>
      <c r="V50" s="306" t="s">
        <v>8710</v>
      </c>
      <c r="W50" s="306"/>
      <c r="X50" s="306"/>
      <c r="Y50" s="306"/>
      <c r="Z50" s="306"/>
      <c r="AA50" s="306"/>
      <c r="AB50" s="306"/>
      <c r="AC50" s="306"/>
      <c r="AD50" s="306"/>
      <c r="AE50" s="306"/>
      <c r="AF50" s="302">
        <v>498</v>
      </c>
      <c r="AG50" s="302"/>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31" t="s">
        <v>125</v>
      </c>
      <c r="G55" s="231"/>
      <c r="H55" s="231"/>
      <c r="I55" s="231"/>
      <c r="J55" s="231"/>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row>
    <row r="56" spans="1:33">
      <c r="A56" s="61"/>
      <c r="B56" s="32"/>
      <c r="F56" s="21"/>
      <c r="G56" s="21"/>
      <c r="H56" s="21"/>
      <c r="I56" s="21"/>
      <c r="J56" s="21"/>
      <c r="K56" s="21"/>
      <c r="L56" s="21"/>
      <c r="M56" s="21"/>
      <c r="N56" s="22"/>
      <c r="O56" s="22"/>
      <c r="P56" s="22"/>
      <c r="Q56" s="22"/>
    </row>
    <row r="57" spans="1:33">
      <c r="A57" s="61"/>
      <c r="B57" s="32" t="s">
        <v>124</v>
      </c>
      <c r="F57" s="59" t="s">
        <v>126</v>
      </c>
      <c r="G57" s="243" t="s">
        <v>1373</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01" t="s">
        <v>127</v>
      </c>
      <c r="AF57" s="201"/>
      <c r="AG57" s="201"/>
    </row>
    <row r="58" spans="1:33">
      <c r="A58" s="61"/>
      <c r="B58" s="32"/>
      <c r="F58" s="173">
        <v>1</v>
      </c>
      <c r="G58" s="307" t="s">
        <v>8711</v>
      </c>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8">
        <v>5.0000000000000001E-3</v>
      </c>
      <c r="AF58" s="308"/>
      <c r="AG58" s="308"/>
    </row>
    <row r="59" spans="1:33">
      <c r="A59" s="61"/>
      <c r="B59" s="32"/>
      <c r="F59" s="173">
        <v>2</v>
      </c>
      <c r="G59" s="307" t="s">
        <v>8712</v>
      </c>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8">
        <v>5.0000000000000001E-3</v>
      </c>
      <c r="AF59" s="308"/>
      <c r="AG59" s="308"/>
    </row>
    <row r="60" spans="1:33">
      <c r="A60" s="61"/>
      <c r="B60" s="32"/>
      <c r="F60" s="172"/>
      <c r="G60" s="309" t="s">
        <v>128</v>
      </c>
      <c r="H60" s="309"/>
      <c r="I60" s="309"/>
      <c r="J60" s="309"/>
      <c r="K60" s="309"/>
      <c r="L60" s="309"/>
      <c r="M60" s="309"/>
      <c r="N60" s="309"/>
      <c r="O60" s="309"/>
      <c r="P60" s="309"/>
      <c r="Q60" s="309"/>
      <c r="R60" s="309"/>
      <c r="S60" s="309"/>
      <c r="T60" s="309"/>
      <c r="U60" s="309"/>
      <c r="V60" s="309"/>
      <c r="W60" s="309"/>
      <c r="X60" s="309"/>
      <c r="Y60" s="309"/>
      <c r="Z60" s="309"/>
      <c r="AA60" s="309"/>
      <c r="AB60" s="309"/>
      <c r="AC60" s="309"/>
      <c r="AD60" s="309"/>
      <c r="AE60" s="310">
        <v>0.01</v>
      </c>
      <c r="AF60" s="310"/>
      <c r="AG60" s="310"/>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un9owwA5qZtVNOJQ2m9Tk4540YmJdVhDx+hZ1W59I1o4eOV0IAz5KjwfSk1fTjY7qx3yJDXfEXTNrHqmgXDT6w==" saltValue="DTRhYjuqJqtEZZurSssQEA==" spinCount="100000" sheet="1" objects="1" scenarios="1"/>
  <mergeCells count="109">
    <mergeCell ref="A26:A27"/>
    <mergeCell ref="A24:A25"/>
    <mergeCell ref="A5:A7"/>
    <mergeCell ref="A8:A9"/>
    <mergeCell ref="A10:A11"/>
    <mergeCell ref="A12:A13"/>
    <mergeCell ref="A14:A15"/>
    <mergeCell ref="A16:A17"/>
    <mergeCell ref="A18:A19"/>
    <mergeCell ref="A20:A21"/>
    <mergeCell ref="A22:A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F18:J18"/>
    <mergeCell ref="K18:S18"/>
    <mergeCell ref="F20:AG20"/>
    <mergeCell ref="F22:H23"/>
    <mergeCell ref="I22:L23"/>
    <mergeCell ref="N22:P23"/>
    <mergeCell ref="Q22:S23"/>
    <mergeCell ref="U22:W23"/>
    <mergeCell ref="X22:Z23"/>
    <mergeCell ref="AB22:AD23"/>
    <mergeCell ref="AE22:AG23"/>
    <mergeCell ref="F25:AG25"/>
    <mergeCell ref="F28:H29"/>
    <mergeCell ref="I28:K29"/>
    <mergeCell ref="L28:AG29"/>
    <mergeCell ref="G33:I33"/>
    <mergeCell ref="J33:T33"/>
    <mergeCell ref="U33:W33"/>
    <mergeCell ref="X33:Z33"/>
    <mergeCell ref="AA33:AC33"/>
    <mergeCell ref="W32:Z32"/>
    <mergeCell ref="F38:N38"/>
    <mergeCell ref="O38:AG38"/>
    <mergeCell ref="F39:N39"/>
    <mergeCell ref="O39:AG39"/>
    <mergeCell ref="G34:I34"/>
    <mergeCell ref="J34:T34"/>
    <mergeCell ref="U34:W34"/>
    <mergeCell ref="X34:Z34"/>
    <mergeCell ref="AA34:AC34"/>
    <mergeCell ref="F46:AG46"/>
    <mergeCell ref="F48:G48"/>
    <mergeCell ref="H48:J48"/>
    <mergeCell ref="K48:O48"/>
    <mergeCell ref="P48:U48"/>
    <mergeCell ref="V48:AE48"/>
    <mergeCell ref="AF48:AG48"/>
    <mergeCell ref="F40:N40"/>
    <mergeCell ref="O40:AG40"/>
    <mergeCell ref="F41:N41"/>
    <mergeCell ref="O41:AG41"/>
    <mergeCell ref="F43:AG44"/>
    <mergeCell ref="K50:O50"/>
    <mergeCell ref="P50:U50"/>
    <mergeCell ref="V50:AE50"/>
    <mergeCell ref="AF50:AG50"/>
    <mergeCell ref="F49:G49"/>
    <mergeCell ref="H49:J49"/>
    <mergeCell ref="K49:O49"/>
    <mergeCell ref="P49:U49"/>
    <mergeCell ref="V49:AE49"/>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AI34:AK34"/>
    <mergeCell ref="AL34:AM34"/>
    <mergeCell ref="AN34:AO34"/>
    <mergeCell ref="AP34:AR34"/>
    <mergeCell ref="AS34:AU34"/>
    <mergeCell ref="AI33:AK33"/>
    <mergeCell ref="AL33:AM33"/>
    <mergeCell ref="AN33:AO33"/>
    <mergeCell ref="AP33:AR33"/>
    <mergeCell ref="AS33:AU3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B98426B0-8580-4F30-AB01-13DF2E732BA1}">
      <formula1>0</formula1>
      <formula2>999999999999</formula2>
    </dataValidation>
    <dataValidation type="custom" allowBlank="1" showInputMessage="1" showErrorMessage="1" errorTitle="Correo" error="Por favor ingrese un correo que contenga @" sqref="K18:S18" xr:uid="{03A0FD17-58FB-48A1-A459-FDEDB08A9EC0}">
      <formula1>SEARCH("@",$K$18)&gt;=0</formula1>
    </dataValidation>
    <dataValidation type="whole" allowBlank="1" showInputMessage="1" showErrorMessage="1" errorTitle="Nit" error="Por favor digite el NIT sin digito de verificación._x000a__x000a_Tenga en cuenta que como máximo se permiten 15 caracteres" sqref="Y12:AG12" xr:uid="{6B6A7F41-EFAE-4BBF-8A47-23EB281F38FE}">
      <formula1>0</formula1>
      <formula2>999999999999999</formula2>
    </dataValidation>
    <dataValidation type="list" allowBlank="1" showInputMessage="1" showErrorMessage="1" sqref="N56:Q56" xr:uid="{C1BBF5F9-6B2F-4347-8C47-0B2AA9DAE6B5}">
      <formula1>A1_Lista_SF</formula1>
    </dataValidation>
    <dataValidation type="list" allowBlank="1" showInputMessage="1" showErrorMessage="1" sqref="Q22:S23 AL34:AM34" xr:uid="{CE43A940-F5B1-4EB9-8478-EAB6F458616F}">
      <formula1>"SI,NO"</formula1>
    </dataValidation>
    <dataValidation type="list" allowBlank="1" showInputMessage="1" showErrorMessage="1" sqref="I28:K29" xr:uid="{94D47F1A-F868-4B68-BC7E-5BCB7FC47066}">
      <formula1>L3_cod_raiz_productos</formula1>
    </dataValidation>
    <dataValidation type="list" allowBlank="1" showInputMessage="1" showErrorMessage="1" sqref="X22:Z23" xr:uid="{B5BCFE41-D448-42A5-9F51-479F7F396859}">
      <formula1>L3_region</formula1>
    </dataValidation>
    <dataValidation type="list" allowBlank="1" showInputMessage="1" showErrorMessage="1" sqref="I22:L23" xr:uid="{44A41E57-6DFD-4516-8589-E264382936E6}">
      <formula1>"COMPRAVENTA,MONTO AGOTABLE"</formula1>
    </dataValidation>
    <dataValidation type="list" allowBlank="1" showInputMessage="1" showErrorMessage="1" sqref="S51" xr:uid="{C97B7CCE-1ACD-4A28-80FE-68BEB26A9DAC}">
      <formula1>Deptos</formula1>
    </dataValidation>
    <dataValidation type="whole" operator="greaterThan" allowBlank="1" showInputMessage="1" showErrorMessage="1" errorTitle="Error" error="Valor no válido" sqref="AB51 AF49:AF50" xr:uid="{593D6C04-100E-453F-841D-D35A6A65B3DE}">
      <formula1>0</formula1>
    </dataValidation>
    <dataValidation type="list" allowBlank="1" showInputMessage="1" showErrorMessage="1" sqref="K49:O50" xr:uid="{DAD295ED-5AD3-4F1C-A7B2-90B8B2F919EB}">
      <formula1>departamentos_DIVIPOLA</formula1>
    </dataValidation>
    <dataValidation type="list" allowBlank="1" showInputMessage="1" showErrorMessage="1" sqref="O39:O41" xr:uid="{A6B8CE73-64B2-4103-825A-171516CA417C}">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C1CD4B6C-2228-4A9F-924B-4F3987B904AF}">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C3B1EB-FF04-458D-8957-A7BF66C60EFC}">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48AF8DC-E440-4DD2-81BA-F60BFE3EFA98}">
      <formula1>AND(ROUND(AE22,2)=AE22, AE22&gt;=1)</formula1>
    </dataValidation>
    <dataValidation type="custom" allowBlank="1" showInputMessage="1" showErrorMessage="1" errorTitle="Porcentaje" error="Por favor digite un valor entre 0% y 100% y con máximo dos dígitos decimales." sqref="AE58:AG59" xr:uid="{97B880C0-A75E-49AC-8E35-F7D8E71FD3A9}">
      <formula1>AND(ROUND(AE58,4)=AE58, AE58&gt;=0, AE58&lt;=1)</formula1>
    </dataValidation>
    <dataValidation type="date" operator="greaterThanOrEqual" allowBlank="1" showInputMessage="1" showErrorMessage="1" errorTitle="Error" error="Fecha no válida" sqref="H49:H51" xr:uid="{80CA4121-E152-4366-884C-2C4688C5DD46}">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20416625-AD91-49D5-B277-B39715D340A8}">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FDA14A52-D874-4CB3-8C55-0B8F08B29974}">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D6CA82B6-97F0-41EF-B20C-031D9234B3E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6D88D29B-2F33-4CEF-B954-15C4DCD4A04B}"/>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01FBF7B-E157-423C-BDDB-F1CC4D955EFF}">
          <x14:formula1>
            <xm:f>OFFSET(Municipios_DIVIPOLA!$H$1,MATCH(K49,Municipios_DIVIPOLA!H:H,0)-1,1,COUNTIF(Municipios_DIVIPOLA!H:H,K49))</xm:f>
          </x14:formula1>
          <xm:sqref>P49:U50</xm:sqref>
        </x14:dataValidation>
        <x14:dataValidation type="list" allowBlank="1" showInputMessage="1" showErrorMessage="1" xr:uid="{B87B3A11-97FD-40BE-B7D7-8322386EB138}">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0"/>
    </row>
    <row r="6" spans="1:1">
      <c r="A6" s="180"/>
    </row>
    <row r="7" spans="1:1" hidden="1">
      <c r="A7" s="180"/>
    </row>
    <row r="8" spans="1:1" hidden="1">
      <c r="A8" s="179"/>
    </row>
    <row r="9" spans="1:1" hidden="1">
      <c r="A9" s="179"/>
    </row>
    <row r="10" spans="1:1" ht="27.95" customHeight="1">
      <c r="A10" s="222" t="s">
        <v>163</v>
      </c>
    </row>
    <row r="11" spans="1:1" ht="4.5" customHeight="1">
      <c r="A11" s="222"/>
    </row>
    <row r="12" spans="1:1" ht="14.25" customHeight="1">
      <c r="A12" s="223" t="s">
        <v>259</v>
      </c>
    </row>
    <row r="13" spans="1:1" ht="3.75" customHeight="1">
      <c r="A13" s="223"/>
    </row>
    <row r="14" spans="1:1" ht="14.25" customHeight="1">
      <c r="A14" s="225" t="s">
        <v>164</v>
      </c>
    </row>
    <row r="15" spans="1:1" ht="2.25" customHeight="1">
      <c r="A15" s="225"/>
    </row>
    <row r="16" spans="1:1" ht="14.25" customHeight="1">
      <c r="A16" s="224" t="s">
        <v>165</v>
      </c>
    </row>
    <row r="17" spans="1:104" ht="3" customHeight="1">
      <c r="A17" s="221"/>
    </row>
    <row r="18" spans="1:104" s="15" customFormat="1" ht="14.25" customHeight="1">
      <c r="A18" s="225"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25"/>
    </row>
    <row r="20" spans="1:104" ht="27.95" customHeight="1">
      <c r="A20" s="224" t="s">
        <v>167</v>
      </c>
    </row>
    <row r="21" spans="1:104" ht="4.5" customHeight="1">
      <c r="A21" s="221"/>
    </row>
    <row r="22" spans="1:104" ht="13.9" customHeight="1">
      <c r="A22" s="225" t="s">
        <v>1366</v>
      </c>
    </row>
    <row r="23" spans="1:104" ht="14.25" customHeight="1">
      <c r="A23" s="281"/>
    </row>
    <row r="24" spans="1:104" ht="15" customHeight="1">
      <c r="A24" s="271"/>
    </row>
    <row r="25" spans="1:104" ht="45" customHeight="1">
      <c r="A25" s="271"/>
    </row>
    <row r="26" spans="1:104" ht="14.25" customHeight="1">
      <c r="A26" s="282"/>
    </row>
    <row r="27" spans="1:104" ht="14.25" hidden="1" customHeight="1">
      <c r="A27" s="282"/>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cxIESaB2oK1hRmRyiFZrOpxlGHu/5OZeMLWxtcrvMaao1F4GzHLHljBe57s5FyZ0AFcGf1/2iVhfN+oabBywYg==" saltValue="a2B+LqypLCSzrm+QsHR4vA==" spinCount="100000" sheet="1" objects="1" scenarios="1"/>
  <mergeCells count="11">
    <mergeCell ref="A14:A15"/>
    <mergeCell ref="A5:A7"/>
    <mergeCell ref="A8:A9"/>
    <mergeCell ref="A10:A11"/>
    <mergeCell ref="A12:A13"/>
    <mergeCell ref="A26:A27"/>
    <mergeCell ref="A16:A17"/>
    <mergeCell ref="A18:A19"/>
    <mergeCell ref="A20:A21"/>
    <mergeCell ref="A22:A23"/>
    <mergeCell ref="A24:A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45" t="s">
        <v>4061</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row>
    <row r="2" spans="1:33" ht="14.25" customHeight="1">
      <c r="A2" s="28"/>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3" ht="14.25" customHeight="1">
      <c r="A3" s="30"/>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3" ht="14.25" customHeight="1">
      <c r="A4" s="31"/>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3" ht="15" hidden="1">
      <c r="A5" s="180"/>
      <c r="F5" s="247" t="s">
        <v>3909</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3">
      <c r="A6" s="180"/>
    </row>
    <row r="7" spans="1:33" hidden="1">
      <c r="A7" s="180"/>
    </row>
    <row r="8" spans="1:33" hidden="1">
      <c r="A8" s="179"/>
    </row>
    <row r="9" spans="1:33" hidden="1">
      <c r="A9" s="179"/>
    </row>
    <row r="10" spans="1:33" ht="27.95" hidden="1" customHeight="1">
      <c r="B10" s="32"/>
      <c r="F10" s="231" t="s">
        <v>4066</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01" t="s">
        <v>1322</v>
      </c>
      <c r="Y33" s="201"/>
      <c r="Z33" s="201"/>
      <c r="AA33" s="201" t="s">
        <v>1449</v>
      </c>
      <c r="AB33" s="201"/>
      <c r="AC33" s="201"/>
      <c r="AD33" s="201" t="s">
        <v>3926</v>
      </c>
      <c r="AE33" s="201"/>
      <c r="AF33" s="201" t="s">
        <v>3927</v>
      </c>
      <c r="AG33" s="201"/>
      <c r="AH33" s="201"/>
      <c r="AI33" s="201" t="s">
        <v>1352</v>
      </c>
      <c r="AJ33" s="201"/>
      <c r="AK33" s="201"/>
      <c r="AL33" s="201" t="s">
        <v>1324</v>
      </c>
      <c r="AM33" s="201"/>
      <c r="AN33" s="201" t="s">
        <v>1450</v>
      </c>
      <c r="AO33" s="201"/>
      <c r="AP33" s="201" t="s">
        <v>1354</v>
      </c>
      <c r="AQ33" s="201"/>
      <c r="AR33" s="201"/>
      <c r="AS33" s="201" t="s">
        <v>1353</v>
      </c>
      <c r="AT33" s="201"/>
      <c r="AU33" s="201"/>
      <c r="AV33" s="201" t="s">
        <v>3934</v>
      </c>
      <c r="AW33" s="201"/>
      <c r="AX33" s="201"/>
      <c r="AY33" s="201" t="s">
        <v>145</v>
      </c>
      <c r="AZ33" s="201"/>
      <c r="BA33" s="201"/>
      <c r="BB33" s="201"/>
      <c r="BC33" s="201"/>
      <c r="BD33" s="201"/>
      <c r="BE33" s="201" t="s">
        <v>3935</v>
      </c>
      <c r="BF33" s="201"/>
      <c r="BG33" s="201"/>
      <c r="BH33" s="201" t="s">
        <v>3936</v>
      </c>
      <c r="BI33" s="201"/>
      <c r="BJ33" s="201"/>
      <c r="BK33" s="201" t="s">
        <v>3938</v>
      </c>
      <c r="BL33" s="201"/>
      <c r="BM33" s="201"/>
    </row>
  </sheetData>
  <sheetProtection algorithmName="SHA-512" hashValue="vssgbgbqe2N4EJOljUsSfrIlvNj0bC+w0havuaidN7xfVOPR6RVzGkM4ir7bFGbDG4DWS3CvygCZ++ksIILeNg==" saltValue="BH9YkXIQhp7nrVajkkk6Qg==" spinCount="100000" sheet="1" objects="1" scenarios="1"/>
  <mergeCells count="25">
    <mergeCell ref="BK33:BM33"/>
    <mergeCell ref="AV33:AX33"/>
    <mergeCell ref="AY33:BD33"/>
    <mergeCell ref="BE33:BG33"/>
    <mergeCell ref="BH33:BJ33"/>
    <mergeCell ref="AN33:AO33"/>
    <mergeCell ref="AP33:AR33"/>
    <mergeCell ref="AS33:AU33"/>
    <mergeCell ref="G33:I33"/>
    <mergeCell ref="J33:T33"/>
    <mergeCell ref="U33:W33"/>
    <mergeCell ref="X33:Z33"/>
    <mergeCell ref="AA33:AC33"/>
    <mergeCell ref="AD33:AE33"/>
    <mergeCell ref="A8:A9"/>
    <mergeCell ref="F10:AG10"/>
    <mergeCell ref="AF33:AH33"/>
    <mergeCell ref="AI33:AK33"/>
    <mergeCell ref="AL33:AM33"/>
    <mergeCell ref="F1:AG2"/>
    <mergeCell ref="F3:K3"/>
    <mergeCell ref="L3:AA4"/>
    <mergeCell ref="F4:K4"/>
    <mergeCell ref="A5:A7"/>
    <mergeCell ref="F5:A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45" t="s">
        <v>1390</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L1" s="33"/>
    </row>
    <row r="2" spans="1:38" ht="14.25" customHeight="1">
      <c r="A2" s="61"/>
      <c r="B2" s="44"/>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8" ht="14.25" customHeight="1">
      <c r="A3" s="62"/>
      <c r="B3" s="44"/>
      <c r="F3" s="365" t="str">
        <f>+SolCotizacion!F3</f>
        <v>Versión:7        05/02/2026</v>
      </c>
      <c r="G3" s="365"/>
      <c r="H3" s="365"/>
      <c r="I3" s="365"/>
      <c r="J3" s="365"/>
      <c r="K3" s="60"/>
      <c r="L3" s="246" t="s">
        <v>1565</v>
      </c>
      <c r="M3" s="246"/>
      <c r="N3" s="246"/>
      <c r="O3" s="246"/>
      <c r="P3" s="246"/>
      <c r="Q3" s="246"/>
      <c r="R3" s="246"/>
      <c r="S3" s="246"/>
      <c r="T3" s="246"/>
      <c r="U3" s="246"/>
      <c r="V3" s="246"/>
      <c r="W3" s="246"/>
      <c r="X3" s="246"/>
      <c r="Y3" s="246"/>
      <c r="Z3" s="246"/>
      <c r="AA3" s="246"/>
      <c r="AB3" s="60"/>
      <c r="AC3" s="60"/>
      <c r="AD3" s="60"/>
      <c r="AE3" s="60"/>
      <c r="AF3" s="60"/>
      <c r="AG3" s="60"/>
    </row>
    <row r="4" spans="1:38" ht="14.25" customHeight="1">
      <c r="A4" s="63"/>
      <c r="B4" s="44"/>
      <c r="F4" s="366">
        <f>+SolCotizacion!F4</f>
        <v>0</v>
      </c>
      <c r="G4" s="366"/>
      <c r="H4" s="366"/>
      <c r="I4" s="366"/>
      <c r="J4" s="366"/>
      <c r="K4" s="60"/>
      <c r="L4" s="246"/>
      <c r="M4" s="246"/>
      <c r="N4" s="246"/>
      <c r="O4" s="246"/>
      <c r="P4" s="246"/>
      <c r="Q4" s="246"/>
      <c r="R4" s="246"/>
      <c r="S4" s="246"/>
      <c r="T4" s="246"/>
      <c r="U4" s="246"/>
      <c r="V4" s="246"/>
      <c r="W4" s="246"/>
      <c r="X4" s="246"/>
      <c r="Y4" s="246"/>
      <c r="Z4" s="246"/>
      <c r="AA4" s="246"/>
      <c r="AB4" s="60"/>
      <c r="AC4" s="60"/>
      <c r="AD4" s="60"/>
      <c r="AE4" s="60"/>
      <c r="AF4" s="60"/>
      <c r="AG4" s="60"/>
    </row>
    <row r="5" spans="1:38" ht="15" hidden="1">
      <c r="A5" s="217" t="s">
        <v>170</v>
      </c>
      <c r="B5" s="44"/>
      <c r="F5" s="247" t="s">
        <v>1368</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8" ht="14.25" customHeight="1">
      <c r="A6" s="218"/>
      <c r="B6" s="44"/>
      <c r="F6" s="11"/>
      <c r="G6" s="11"/>
      <c r="H6" s="11"/>
      <c r="I6" s="11"/>
      <c r="J6" s="11"/>
    </row>
    <row r="7" spans="1:38" ht="14.25" customHeight="1">
      <c r="A7" s="219"/>
      <c r="B7" s="44"/>
      <c r="F7" s="11"/>
      <c r="G7" s="11"/>
      <c r="H7" s="11"/>
      <c r="I7" s="11"/>
      <c r="J7" s="11"/>
    </row>
    <row r="8" spans="1:38" ht="14.25" customHeight="1">
      <c r="A8" s="220" t="s">
        <v>162</v>
      </c>
      <c r="B8" s="44"/>
      <c r="F8" s="11"/>
      <c r="G8" s="11"/>
      <c r="H8" s="11"/>
      <c r="I8" s="11"/>
      <c r="J8" s="11"/>
    </row>
    <row r="9" spans="1:38" ht="14.25" customHeight="1">
      <c r="A9" s="221"/>
      <c r="B9" s="44"/>
      <c r="F9" s="360" t="s">
        <v>273</v>
      </c>
      <c r="G9" s="361"/>
      <c r="H9" s="361"/>
      <c r="I9" s="361"/>
      <c r="J9" s="361"/>
      <c r="K9" s="361"/>
      <c r="L9" s="361"/>
      <c r="M9" s="361"/>
      <c r="N9" s="361"/>
    </row>
    <row r="10" spans="1:38">
      <c r="A10" s="223" t="s">
        <v>163</v>
      </c>
      <c r="B10" s="44"/>
      <c r="F10" s="362" t="s">
        <v>171</v>
      </c>
      <c r="G10" s="362"/>
      <c r="H10" s="362"/>
      <c r="I10" s="362"/>
      <c r="J10" s="362"/>
      <c r="K10" s="362" t="s">
        <v>173</v>
      </c>
      <c r="L10" s="362"/>
      <c r="M10" s="362"/>
      <c r="N10" s="362"/>
    </row>
    <row r="11" spans="1:38" ht="4.5" customHeight="1">
      <c r="A11" s="223"/>
      <c r="B11" s="44"/>
      <c r="F11" s="362"/>
      <c r="G11" s="362"/>
      <c r="H11" s="362"/>
      <c r="I11" s="362"/>
      <c r="J11" s="362"/>
      <c r="K11" s="362"/>
      <c r="L11" s="362"/>
      <c r="M11" s="362"/>
      <c r="N11" s="362"/>
    </row>
    <row r="12" spans="1:38" ht="14.25" customHeight="1">
      <c r="A12" s="223" t="s">
        <v>259</v>
      </c>
      <c r="B12" s="44"/>
      <c r="F12" s="358" t="s">
        <v>174</v>
      </c>
      <c r="G12" s="358"/>
      <c r="H12" s="358"/>
      <c r="I12" s="358"/>
      <c r="J12" s="358"/>
      <c r="K12" s="359">
        <v>123</v>
      </c>
      <c r="L12" s="359"/>
      <c r="M12" s="359"/>
      <c r="N12" s="359"/>
    </row>
    <row r="13" spans="1:38" ht="3.75" customHeight="1">
      <c r="A13" s="223"/>
      <c r="B13" s="44"/>
      <c r="F13" s="358"/>
      <c r="G13" s="358"/>
      <c r="H13" s="358"/>
      <c r="I13" s="358"/>
      <c r="J13" s="358"/>
      <c r="K13" s="359"/>
      <c r="L13" s="359"/>
      <c r="M13" s="359"/>
      <c r="N13" s="359"/>
    </row>
    <row r="14" spans="1:38" ht="14.25" customHeight="1">
      <c r="A14" s="225" t="s">
        <v>164</v>
      </c>
      <c r="B14" s="44"/>
      <c r="F14" s="358" t="s">
        <v>145</v>
      </c>
      <c r="G14" s="358"/>
      <c r="H14" s="358"/>
      <c r="I14" s="358"/>
      <c r="J14" s="358"/>
      <c r="K14" s="358"/>
      <c r="L14" s="358"/>
      <c r="M14" s="358"/>
      <c r="N14" s="358"/>
    </row>
    <row r="15" spans="1:38" ht="2.25" customHeight="1">
      <c r="A15" s="225"/>
      <c r="B15" s="44"/>
      <c r="F15" s="358"/>
      <c r="G15" s="358"/>
      <c r="H15" s="358"/>
      <c r="I15" s="358"/>
      <c r="J15" s="358"/>
      <c r="K15" s="358"/>
      <c r="L15" s="358"/>
      <c r="M15" s="358"/>
      <c r="N15" s="358"/>
    </row>
    <row r="16" spans="1:38" ht="14.25" customHeight="1">
      <c r="A16" s="224" t="s">
        <v>165</v>
      </c>
      <c r="B16" s="44"/>
      <c r="F16" s="358" t="s">
        <v>274</v>
      </c>
      <c r="G16" s="358"/>
      <c r="H16" s="358"/>
      <c r="I16" s="358"/>
      <c r="J16" s="358"/>
      <c r="K16" s="359" t="s">
        <v>1372</v>
      </c>
      <c r="L16" s="359"/>
      <c r="M16" s="359"/>
      <c r="N16" s="359"/>
    </row>
    <row r="17" spans="1:49" ht="3" customHeight="1">
      <c r="A17" s="221"/>
      <c r="B17" s="44"/>
      <c r="F17" s="358"/>
      <c r="G17" s="358"/>
      <c r="H17" s="358"/>
      <c r="I17" s="358"/>
      <c r="J17" s="358"/>
      <c r="K17" s="359"/>
      <c r="L17" s="359"/>
      <c r="M17" s="359"/>
      <c r="N17" s="359"/>
    </row>
    <row r="18" spans="1:49" s="15" customFormat="1" ht="14.25" customHeight="1">
      <c r="A18" s="225"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25"/>
      <c r="B19" s="44"/>
    </row>
    <row r="20" spans="1:49">
      <c r="A20" s="224" t="s">
        <v>167</v>
      </c>
      <c r="B20" s="44"/>
    </row>
    <row r="21" spans="1:49" ht="4.5" customHeight="1">
      <c r="A21" s="221"/>
      <c r="B21" s="44"/>
    </row>
    <row r="22" spans="1:49" ht="13.9" customHeight="1">
      <c r="A22" s="363" t="s">
        <v>1366</v>
      </c>
      <c r="B22" s="46"/>
      <c r="C22" s="16"/>
      <c r="D22" s="16"/>
      <c r="E22" s="16"/>
    </row>
    <row r="23" spans="1:49" ht="14.25" customHeight="1">
      <c r="A23" s="364"/>
      <c r="B23" s="44"/>
    </row>
    <row r="24" spans="1:49" ht="13.9" customHeight="1">
      <c r="A24" s="271"/>
      <c r="B24" s="44"/>
    </row>
    <row r="25" spans="1:49" ht="14.25" customHeight="1">
      <c r="A25" s="271"/>
      <c r="B25" s="44"/>
    </row>
    <row r="26" spans="1:49" ht="14.25" customHeight="1">
      <c r="A26" s="282"/>
      <c r="B26" s="44"/>
    </row>
    <row r="27" spans="1:49" ht="14.25" customHeight="1">
      <c r="A27" s="282"/>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wOOHvbYQ/tL1/3ZdQSsAzpHokWV45YVKjf+un/DAvspAIxNkYh1WN1CK6OwQbsNBbPHRTSuzkcEFjmR05YLC6Q==" saltValue="t3f886vj6/w2MMVpp/QR9A==" spinCount="100000" sheet="1" objects="1" scenarios="1"/>
  <mergeCells count="25">
    <mergeCell ref="F1:AG2"/>
    <mergeCell ref="F3:J3"/>
    <mergeCell ref="L3:AA4"/>
    <mergeCell ref="F4:J4"/>
    <mergeCell ref="F5:AG5"/>
    <mergeCell ref="A24:A25"/>
    <mergeCell ref="A26:A27"/>
    <mergeCell ref="A14:A15"/>
    <mergeCell ref="A16:A17"/>
    <mergeCell ref="A18:A19"/>
    <mergeCell ref="A20:A21"/>
    <mergeCell ref="A22:A23"/>
    <mergeCell ref="F16:J17"/>
    <mergeCell ref="K16:N17"/>
    <mergeCell ref="F14:J15"/>
    <mergeCell ref="K14:N15"/>
    <mergeCell ref="A5:A7"/>
    <mergeCell ref="A8:A9"/>
    <mergeCell ref="A10:A11"/>
    <mergeCell ref="A12:A13"/>
    <mergeCell ref="F9:N9"/>
    <mergeCell ref="F10:J11"/>
    <mergeCell ref="K10:N11"/>
    <mergeCell ref="F12:J13"/>
    <mergeCell ref="K12:N1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3093</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4197</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4198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4175</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4164</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4188</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3098</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4176</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3094</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L11" t="s">
        <v>3103</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rRyBWrmNZEyvWnCjyEfx879qADpz6T/+CfwzIZDDSu8MRqS7t3eL0+TRgYdTyQZV0zc4vQyALrIO2Nrx7VfM8Q==" saltValue="5YMRav3Lld5FntJV8CUWSQ==" spinCount="100000" sheet="1" objects="1" scenarios="1"/>
  <sortState ref="CL2:CL11">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Props1.xml><?xml version="1.0" encoding="utf-8"?>
<ds:datastoreItem xmlns:ds="http://schemas.openxmlformats.org/officeDocument/2006/customXml" ds:itemID="{DFBE866A-5624-48F2-A482-763F66EAD3A4}">
  <ds:schemaRefs>
    <ds:schemaRef ds:uri="http://schemas.microsoft.com/office/2006/documentManagement/types"/>
    <ds:schemaRef ds:uri="http://www.w3.org/XML/1998/namespace"/>
    <ds:schemaRef ds:uri="a39e57ef-928e-48af-a876-9847393d86d6"/>
    <ds:schemaRef ds:uri="http://purl.org/dc/dcmitype/"/>
    <ds:schemaRef ds:uri="http://purl.org/dc/elements/1.1/"/>
    <ds:schemaRef ds:uri="3eb71fc0-4b16-438a-8a83-6af8750b73d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6BE0315-11A2-4136-8769-A1C51A50F94A}">
  <ds:schemaRefs>
    <ds:schemaRef ds:uri="http://schemas.microsoft.com/sharepoint/v3/contenttype/forms"/>
  </ds:schemaRefs>
</ds:datastoreItem>
</file>

<file path=customXml/itemProps3.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9ECE592-B35E-4FEF-ABE7-8AB05A466C3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2026-05-12T21:31:24Z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