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178CE6A0-846C-4AE2-9189-061E79A56C5C}" xr6:coauthVersionLast="36" xr6:coauthVersionMax="36" xr10:uidLastSave="{00000000-0000-0000-0000-000000000000}"/>
  <workbookProtection workbookAlgorithmName="SHA-512" workbookHashValue="kUe7/OpR8ha/r6wZPLvYXVfUqNprXZxtrONz2zlRvoDgfS5gQbD2nL6o0a7g1UOjaUNYAHmhtieM8wdiMPPXQQ==" workbookSaltValue="rabSOa41HK7//TBVOPs68Q=="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X34" i="27"/>
  <c r="L3" i="27"/>
  <c r="F3" i="27"/>
  <c r="J34" i="27"/>
  <c r="G34" i="27"/>
  <c r="F34" i="27"/>
  <c r="L3" i="26"/>
  <c r="F3" i="26"/>
  <c r="J34" i="26"/>
  <c r="G34" i="26"/>
  <c r="F34" i="26"/>
  <c r="X34" i="26" s="1"/>
  <c r="F2" i="41"/>
  <c r="E2" i="41"/>
  <c r="D2" i="41"/>
  <c r="DT6" i="45"/>
  <c r="DS6" i="45"/>
  <c r="DT5" i="45"/>
  <c r="DS5" i="45"/>
  <c r="F70" i="20"/>
  <c r="F58" i="20"/>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I9" i="22"/>
  <c r="SB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22" i="56" a="1"/>
  <c r="C36" i="56" a="1"/>
  <c r="C21" i="56" a="1"/>
  <c r="C26" i="56" a="1"/>
  <c r="C31" i="56" a="1"/>
  <c r="C13" i="56" a="1"/>
  <c r="C15" i="56" a="1"/>
  <c r="C30" i="56" a="1"/>
  <c r="C33" i="56" a="1"/>
  <c r="C20" i="56" a="1"/>
  <c r="C28" i="56" a="1"/>
  <c r="C8" i="56" a="1"/>
  <c r="C5" i="56" a="1"/>
  <c r="C24" i="56" a="1"/>
  <c r="C18" i="56" a="1"/>
  <c r="C6" i="56" a="1"/>
  <c r="C16" i="56" a="1"/>
  <c r="C11" i="56" a="1"/>
  <c r="C14" i="56" a="1"/>
  <c r="C38" i="56" a="1"/>
  <c r="C23" i="56" a="1"/>
  <c r="C35" i="56" a="1"/>
  <c r="C3" i="56" a="1"/>
  <c r="C12" i="56" a="1"/>
  <c r="C19" i="56" a="1"/>
  <c r="C10" i="56" a="1"/>
  <c r="C9" i="56" a="1"/>
  <c r="C34" i="56" a="1"/>
  <c r="C4" i="56" a="1"/>
  <c r="C32" i="56" a="1"/>
  <c r="C25" i="56" a="1"/>
  <c r="C17" i="56" a="1"/>
  <c r="C37" i="56" a="1"/>
  <c r="C27" i="56" a="1"/>
  <c r="C7"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AJL10" i="22" l="1"/>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<sst xmlns="http://schemas.openxmlformats.org/spreadsheetml/2006/main" count="45598" uniqueCount="8728">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</sst>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3" fillId="7" borderId="10" xfId="0" applyFont="1" applyFill="1" applyBorder="1" applyAlignment="1" applyProtection="1">
      <alignment horizontal="center" vertical="center" wrapText="1"/>
      <protection locked="0" hidden="1"/>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3" fontId="44" fillId="7" borderId="10" xfId="0" applyNumberFormat="1" applyFont="1" applyFill="1" applyBorder="1" applyAlignment="1" applyProtection="1">
      <alignment horizontal="center" vertical="center"/>
      <protection locked="0"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0" fontId="15" fillId="19" borderId="10" xfId="0" applyFont="1" applyFill="1" applyBorder="1" applyAlignment="1" applyProtection="1">
      <alignment horizontal="center" vertical="center" wrapText="1"/>
      <protection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10" fontId="1" fillId="7" borderId="10" xfId="4" applyNumberFormat="1" applyFont="1" applyFill="1" applyBorder="1" applyAlignment="1" applyProtection="1">
      <alignment horizontal="center" wrapText="1"/>
      <protection locked="0"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66" xfId="0" applyFont="1" applyFill="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QgoUMgUs4fHejJD/fS1wmW8dFVnWBiKk7IU9SE+VRKFss+zTs9DBcdA8Sy/bntVH54bfV8Ql8GmsIhVXBwhr1g==" saltValue="FnEZP1sy2t6vEPbDysDlEw=="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5" r:id="rId4" name="btn_seg3">
          <controlPr defaultSize="0" autoLine="0" r:id="rId5">
            <anchor moveWithCells="1">
              <from>
                <xdr:col>11</xdr:col>
                <xdr:colOff>266700</xdr:colOff>
                <xdr:row>17</xdr:row>
                <xdr:rowOff>114300</xdr:rowOff>
              </from>
              <to>
                <xdr:col>13</xdr:col>
                <xdr:colOff>152400</xdr:colOff>
                <xdr:row>20</xdr:row>
                <xdr:rowOff>47625</xdr:rowOff>
              </to>
            </anchor>
          </controlPr>
        </control>
      </mc:Choice>
      <mc:Fallback>
        <control shapeId="28675" r:id="rId4" name="btn_seg3"/>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3" r:id="rId8" name="btn_CatA">
          <controlPr defaultSize="0" autoLine="0" r:id="rId9">
            <anchor moveWithCells="1">
              <from>
                <xdr:col>3</xdr:col>
                <xdr:colOff>9525</xdr:colOff>
                <xdr:row>17</xdr:row>
                <xdr:rowOff>133350</xdr:rowOff>
              </from>
              <to>
                <xdr:col>4</xdr:col>
                <xdr:colOff>476250</xdr:colOff>
                <xdr:row>19</xdr:row>
                <xdr:rowOff>171450</xdr:rowOff>
              </to>
            </anchor>
          </controlPr>
        </control>
      </mc:Choice>
      <mc:Fallback>
        <control shapeId="28673" r:id="rId8" name="btn_CatA"/>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60" t="s">
        <v>1388</v>
      </c>
      <c r="FT9" s="260"/>
      <c r="FU9" s="260"/>
      <c r="FV9" s="260"/>
      <c r="FW9" s="260"/>
      <c r="FX9" s="260"/>
      <c r="FY9" s="260"/>
      <c r="FZ9" s="260"/>
      <c r="GA9" s="260"/>
      <c r="GB9" s="260"/>
      <c r="GC9" s="260"/>
      <c r="GD9" s="260"/>
      <c r="GE9" s="260"/>
      <c r="GF9" s="260"/>
      <c r="GG9" s="260"/>
      <c r="GH9" s="260"/>
      <c r="GI9" s="260"/>
      <c r="GJ9" s="260"/>
      <c r="GK9" s="260"/>
      <c r="GL9" s="260"/>
      <c r="GM9" s="260"/>
      <c r="GN9" s="260"/>
      <c r="GO9" s="260"/>
      <c r="GP9" s="260"/>
      <c r="GQ9" s="260"/>
      <c r="GR9" s="260"/>
      <c r="GS9" s="260"/>
      <c r="GT9" s="260"/>
      <c r="GU9" s="52"/>
      <c r="GV9" s="52"/>
      <c r="GW9" s="52"/>
      <c r="GX9" s="52"/>
      <c r="GY9" s="52"/>
      <c r="GZ9" s="260" t="s">
        <v>1389</v>
      </c>
      <c r="HA9" s="260"/>
      <c r="HB9" s="260"/>
      <c r="HC9" s="260"/>
      <c r="HD9" s="260"/>
      <c r="HE9" s="260"/>
      <c r="HF9" s="260"/>
      <c r="HG9" s="260"/>
      <c r="HH9" s="260"/>
      <c r="HI9" s="260"/>
      <c r="HJ9" s="260"/>
      <c r="HK9" s="260"/>
      <c r="HL9" s="260"/>
      <c r="HM9" s="260"/>
      <c r="HN9" s="260"/>
      <c r="HO9" s="260"/>
      <c r="HP9" s="260"/>
      <c r="HQ9" s="260"/>
      <c r="HR9" s="260"/>
      <c r="HS9" s="260"/>
      <c r="HT9" s="260"/>
      <c r="HU9" s="260"/>
      <c r="HV9" s="260"/>
      <c r="HW9" s="260"/>
      <c r="HX9" s="260"/>
      <c r="HY9" s="260"/>
      <c r="HZ9" s="260"/>
      <c r="IA9" s="260"/>
      <c r="IB9" s="52"/>
      <c r="IC9" s="52"/>
      <c r="ID9" s="52"/>
      <c r="IE9" s="52"/>
      <c r="IF9" s="52"/>
      <c r="IG9" s="260" t="s">
        <v>4063</v>
      </c>
      <c r="IH9" s="260"/>
      <c r="II9" s="260"/>
      <c r="IJ9" s="260"/>
      <c r="IK9" s="260"/>
      <c r="IL9" s="260"/>
      <c r="IM9" s="260"/>
      <c r="IN9" s="260"/>
      <c r="IO9" s="260"/>
      <c r="IP9" s="260"/>
      <c r="IQ9" s="260"/>
      <c r="IR9" s="260"/>
      <c r="IS9" s="260"/>
      <c r="IT9" s="260"/>
      <c r="IU9" s="260"/>
      <c r="IV9" s="260"/>
      <c r="IW9" s="260"/>
      <c r="IX9" s="260"/>
      <c r="IY9" s="260"/>
      <c r="IZ9" s="260"/>
      <c r="JA9" s="260"/>
      <c r="JB9" s="260"/>
      <c r="JC9" s="260"/>
      <c r="JD9" s="260"/>
      <c r="JE9" s="260"/>
      <c r="JF9" s="260"/>
      <c r="JG9" s="260"/>
      <c r="JH9" s="260"/>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05" t="s">
        <v>3085</v>
      </c>
      <c r="MJ9" s="205"/>
      <c r="MK9" s="205"/>
      <c r="ML9" s="205" t="s">
        <v>1322</v>
      </c>
      <c r="MM9" s="205"/>
      <c r="MN9" s="205"/>
      <c r="MO9" s="205" t="s">
        <v>1447</v>
      </c>
      <c r="MP9" s="205"/>
      <c r="MQ9" s="205"/>
      <c r="MR9" s="377" t="s">
        <v>1323</v>
      </c>
      <c r="MS9" s="378"/>
      <c r="MT9" s="378"/>
      <c r="MU9" s="377" t="s">
        <v>1324</v>
      </c>
      <c r="MV9" s="378"/>
      <c r="MW9" s="378"/>
      <c r="MX9" s="377" t="s">
        <v>1353</v>
      </c>
      <c r="MY9" s="378"/>
      <c r="MZ9" s="378"/>
      <c r="NH9" s="205" t="s">
        <v>1323</v>
      </c>
      <c r="NI9" s="205"/>
      <c r="NJ9" s="205"/>
      <c r="NK9" s="314">
        <f ca="1">+SUM(OFFSET(NH$1,0,3,MATCH("Subtotal",NH:NH,0)-1))</f>
        <v>0</v>
      </c>
      <c r="NL9" s="314"/>
      <c r="NM9" s="314"/>
      <c r="NN9" s="314"/>
      <c r="NV9" s="205" t="s">
        <v>1323</v>
      </c>
      <c r="NW9" s="205"/>
      <c r="NX9" s="205"/>
      <c r="NY9" s="314">
        <f ca="1">+SUM(OFFSET(NV$1,0,3,MATCH("Subtotal",NV:NV,0)-1))</f>
        <v>0</v>
      </c>
      <c r="NZ9" s="314"/>
      <c r="OA9" s="314"/>
      <c r="OB9" s="314"/>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314">
        <f ca="1">+SUM($AV$33:INDIRECT("AV"&amp;ROW()-1))</f>
        <v>0</v>
      </c>
      <c r="SC9" s="314"/>
      <c r="SD9" s="314"/>
      <c r="SE9" s="452" t="s">
        <v>1359</v>
      </c>
      <c r="SF9" s="453"/>
      <c r="SG9" s="453"/>
      <c r="SH9" s="453"/>
      <c r="SI9" s="314">
        <f ca="1">+SUM($BC$33:INDIRECT("BC"&amp;ROW()-1))</f>
        <v>0</v>
      </c>
      <c r="SJ9" s="314"/>
      <c r="SK9" s="314"/>
      <c r="SL9" s="314">
        <f ca="1">+SUM($BF$33:INDIRECT("BF"&amp;ROW()-1))</f>
        <v>0</v>
      </c>
      <c r="SM9" s="314"/>
      <c r="SN9" s="314"/>
      <c r="TC9" s="209"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2"/>
      <c r="UR9" s="192"/>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2"/>
      <c r="WL9" s="192"/>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05" t="s">
        <v>1323</v>
      </c>
      <c r="ACR9" s="205"/>
      <c r="ACS9" s="205"/>
      <c r="ACT9" s="314">
        <f>+ResCotizacion!$R$25</f>
        <v>0</v>
      </c>
      <c r="ACU9" s="314"/>
      <c r="ACV9" s="314"/>
      <c r="ACW9" s="314"/>
      <c r="ADC9" s="205" t="s">
        <v>1478</v>
      </c>
      <c r="ADD9" s="205"/>
      <c r="ADE9" s="205"/>
      <c r="ADF9" s="205" t="s">
        <v>1477</v>
      </c>
      <c r="ADG9" s="205"/>
      <c r="ADH9" s="205"/>
      <c r="ADI9" s="205" t="s">
        <v>1324</v>
      </c>
      <c r="ADJ9" s="205"/>
      <c r="ADK9" s="205" t="s">
        <v>1450</v>
      </c>
      <c r="ADL9" s="205"/>
      <c r="ADM9" s="205" t="s">
        <v>1354</v>
      </c>
      <c r="ADN9" s="205"/>
      <c r="ADO9" s="205"/>
      <c r="ADP9" s="205" t="s">
        <v>1353</v>
      </c>
      <c r="ADQ9" s="205"/>
      <c r="ADR9" s="205"/>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05" t="str">
        <f>+IF(Desplegable_prod!$A$1&lt;&gt;"",Desplegable_prod!$A$1,"")</f>
        <v>Combinaciones de color segun la entidad compradora</v>
      </c>
      <c r="AHA9" s="205"/>
      <c r="AHB9" s="205"/>
      <c r="AHC9" s="205" t="str">
        <f>+IF(Desplegable_prod!$B$1&lt;&gt;"",Desplegable_prod!$B$1,"")</f>
        <v>Tallas</v>
      </c>
      <c r="AHD9" s="205"/>
      <c r="AHE9" s="205"/>
      <c r="AHF9" s="205" t="str">
        <f>+IF(Desplegable_prod!$C$1&lt;&gt;"",Desplegable_prod!$C$1,"")</f>
        <v>Tipo de suela</v>
      </c>
      <c r="AHG9" s="205"/>
      <c r="AHH9" s="205"/>
      <c r="AHI9" s="205" t="str">
        <f>+IF(Desplegable_prod!$D$1&lt;&gt;"",Desplegable_prod!$D$1,"")</f>
        <v>Cordonera</v>
      </c>
      <c r="AHJ9" s="205"/>
      <c r="AHK9" s="205"/>
      <c r="AHL9" s="205" t="str">
        <f>+IF(Desplegable_prod!$E$1&lt;&gt;"",Desplegable_prod!$E$1,"")</f>
        <v xml:space="preserve">Material cordón </v>
      </c>
      <c r="AHM9" s="205"/>
      <c r="AHN9" s="205"/>
      <c r="AHO9" s="205" t="str">
        <f>+IF(Desplegable_prod!$F$1&lt;&gt;"",Desplegable_prod!$F$1,"")</f>
        <v xml:space="preserve">Color del cordón </v>
      </c>
      <c r="AHP9" s="205"/>
      <c r="AHQ9" s="205"/>
      <c r="AHR9" s="205" t="str">
        <f>+IF(Desplegable_prod!$G$1&lt;&gt;"",Desplegable_prod!$G$1,"")</f>
        <v>Color de ojetes, ganchos de extracción rápida</v>
      </c>
      <c r="AHS9" s="205"/>
      <c r="AHT9" s="205"/>
      <c r="AHU9" s="205" t="str">
        <f>+IF(Desplegable_prod!$H$1&lt;&gt;"",Desplegable_prod!$H$1,"")</f>
        <v/>
      </c>
      <c r="AHV9" s="205"/>
      <c r="AHW9" s="205"/>
      <c r="AHX9" s="205" t="str">
        <f>+IF(Desplegable_prod!$I$1&lt;&gt;"",Desplegable_prod!$I$1,"")</f>
        <v/>
      </c>
      <c r="AHY9" s="205"/>
      <c r="AHZ9" s="205"/>
      <c r="AIA9" s="205" t="str">
        <f>+IF(Desplegable_prod!$J$1&lt;&gt;"",Desplegable_prod!$J$1,"")</f>
        <v/>
      </c>
      <c r="AIB9" s="205"/>
      <c r="AIC9" s="205"/>
      <c r="AIO9" s="203" t="s">
        <v>159</v>
      </c>
      <c r="AIP9" s="204"/>
      <c r="AIQ9" s="204"/>
      <c r="AJH9" s="154" t="s">
        <v>263</v>
      </c>
      <c r="AJI9" s="318" t="s">
        <v>3494</v>
      </c>
      <c r="AJJ9" s="318"/>
      <c r="AJK9" s="318"/>
      <c r="AJL9" s="318" t="s">
        <v>3129</v>
      </c>
      <c r="AJM9" s="318"/>
      <c r="AJN9" s="318"/>
      <c r="AJO9" s="318"/>
      <c r="AJP9" s="318"/>
      <c r="AJQ9" s="318"/>
      <c r="AJR9" s="318"/>
      <c r="AJS9" s="318"/>
      <c r="AJT9" s="318"/>
      <c r="AJU9" s="318"/>
      <c r="AJV9" s="318"/>
      <c r="AJW9" s="318" t="s">
        <v>159</v>
      </c>
      <c r="AJX9" s="318"/>
      <c r="AJY9" s="318"/>
      <c r="AJZ9" s="319" t="s">
        <v>3489</v>
      </c>
      <c r="AKA9" s="319"/>
      <c r="AKB9" s="320"/>
      <c r="AKC9" s="318" t="s">
        <v>3490</v>
      </c>
      <c r="AKD9" s="318"/>
      <c r="AKE9" s="318"/>
      <c r="AKF9" s="318" t="s">
        <v>1352</v>
      </c>
      <c r="AKG9" s="318"/>
      <c r="AKH9" s="318"/>
      <c r="AKI9" s="318"/>
      <c r="AKR9" s="154" t="s">
        <v>263</v>
      </c>
      <c r="AKS9" s="318" t="s">
        <v>3494</v>
      </c>
      <c r="AKT9" s="318"/>
      <c r="AKU9" s="318"/>
      <c r="AKV9" s="474" t="s">
        <v>3129</v>
      </c>
      <c r="AKW9" s="475"/>
      <c r="AKX9" s="475"/>
      <c r="AKY9" s="475"/>
      <c r="AKZ9" s="475"/>
      <c r="ALA9" s="475"/>
      <c r="ALB9" s="475"/>
      <c r="ALC9" s="475"/>
      <c r="ALD9" s="475"/>
      <c r="ALE9" s="475"/>
      <c r="ALF9" s="475"/>
      <c r="ALG9" s="475"/>
      <c r="ALH9" s="475"/>
      <c r="ALI9" s="476"/>
      <c r="ALJ9" s="318" t="s">
        <v>3933</v>
      </c>
      <c r="ALK9" s="318"/>
      <c r="ALL9" s="318"/>
      <c r="ALM9" s="318" t="s">
        <v>3924</v>
      </c>
      <c r="ALN9" s="318"/>
      <c r="ALO9" s="318"/>
      <c r="ALP9" s="318" t="s">
        <v>3932</v>
      </c>
      <c r="ALQ9" s="318"/>
      <c r="ALR9" s="318"/>
      <c r="ALS9" s="318"/>
      <c r="AME9" s="348" t="s">
        <v>3916</v>
      </c>
      <c r="AMF9" s="349"/>
      <c r="AMG9" s="349"/>
      <c r="AMH9" s="354" t="str">
        <f>+IFERROR(VLOOKUP(Cotizacion!$I$32,Cat_Filtro2!$E:$L,8,FALSE),"")</f>
        <v>REGION 7</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05" t="s">
        <v>1322</v>
      </c>
      <c r="ANO9" s="205"/>
      <c r="ANP9" s="205"/>
      <c r="ANQ9" s="205" t="s">
        <v>1449</v>
      </c>
      <c r="ANR9" s="205"/>
      <c r="ANS9" s="205"/>
      <c r="ANT9" s="205" t="s">
        <v>3926</v>
      </c>
      <c r="ANU9" s="205"/>
      <c r="ANV9" s="205" t="s">
        <v>3927</v>
      </c>
      <c r="ANW9" s="205"/>
      <c r="ANX9" s="205"/>
      <c r="ANY9" s="205" t="s">
        <v>1352</v>
      </c>
      <c r="ANZ9" s="205"/>
      <c r="AOA9" s="205"/>
      <c r="AOB9" s="205" t="s">
        <v>1324</v>
      </c>
      <c r="AOC9" s="205"/>
      <c r="AOD9" s="205" t="s">
        <v>1450</v>
      </c>
      <c r="AOE9" s="205"/>
      <c r="AOF9" s="205" t="s">
        <v>1354</v>
      </c>
      <c r="AOG9" s="205"/>
      <c r="AOH9" s="205"/>
      <c r="AOI9" s="205" t="s">
        <v>1353</v>
      </c>
      <c r="AOJ9" s="205"/>
      <c r="AOK9" s="205"/>
      <c r="AOL9" s="205" t="s">
        <v>3934</v>
      </c>
      <c r="AOM9" s="205"/>
      <c r="AON9" s="205"/>
      <c r="AOO9" s="205" t="s">
        <v>3935</v>
      </c>
      <c r="AOP9" s="205"/>
      <c r="AOQ9" s="205"/>
      <c r="AOR9" s="205" t="s">
        <v>3941</v>
      </c>
      <c r="AOS9" s="205"/>
      <c r="AOT9" s="205"/>
      <c r="AOU9" s="205"/>
      <c r="AOV9" s="205"/>
      <c r="AOW9" s="205"/>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60"/>
      <c r="FT10" s="260"/>
      <c r="FU10" s="260"/>
      <c r="FV10" s="260"/>
      <c r="FW10" s="260"/>
      <c r="FX10" s="260"/>
      <c r="FY10" s="260"/>
      <c r="FZ10" s="260"/>
      <c r="GA10" s="260"/>
      <c r="GB10" s="260"/>
      <c r="GC10" s="260"/>
      <c r="GD10" s="260"/>
      <c r="GE10" s="260"/>
      <c r="GF10" s="260"/>
      <c r="GG10" s="260"/>
      <c r="GH10" s="260"/>
      <c r="GI10" s="260"/>
      <c r="GJ10" s="260"/>
      <c r="GK10" s="260"/>
      <c r="GL10" s="260"/>
      <c r="GM10" s="260"/>
      <c r="GN10" s="260"/>
      <c r="GO10" s="260"/>
      <c r="GP10" s="260"/>
      <c r="GQ10" s="260"/>
      <c r="GR10" s="260"/>
      <c r="GS10" s="260"/>
      <c r="GT10" s="260"/>
      <c r="GU10" s="52"/>
      <c r="GV10" s="52"/>
      <c r="GW10" s="52"/>
      <c r="GX10" s="52"/>
      <c r="GY10" s="52"/>
      <c r="GZ10" s="260"/>
      <c r="HA10" s="260"/>
      <c r="HB10" s="260"/>
      <c r="HC10" s="260"/>
      <c r="HD10" s="260"/>
      <c r="HE10" s="260"/>
      <c r="HF10" s="260"/>
      <c r="HG10" s="260"/>
      <c r="HH10" s="260"/>
      <c r="HI10" s="260"/>
      <c r="HJ10" s="260"/>
      <c r="HK10" s="260"/>
      <c r="HL10" s="260"/>
      <c r="HM10" s="260"/>
      <c r="HN10" s="260"/>
      <c r="HO10" s="260"/>
      <c r="HP10" s="260"/>
      <c r="HQ10" s="260"/>
      <c r="HR10" s="260"/>
      <c r="HS10" s="260"/>
      <c r="HT10" s="260"/>
      <c r="HU10" s="260"/>
      <c r="HV10" s="260"/>
      <c r="HW10" s="260"/>
      <c r="HX10" s="260"/>
      <c r="HY10" s="260"/>
      <c r="HZ10" s="260"/>
      <c r="IA10" s="260"/>
      <c r="IB10" s="52"/>
      <c r="IC10" s="52"/>
      <c r="ID10" s="52"/>
      <c r="IE10" s="52"/>
      <c r="IF10" s="52"/>
      <c r="IG10" s="260"/>
      <c r="IH10" s="260"/>
      <c r="II10" s="260"/>
      <c r="IJ10" s="260"/>
      <c r="IK10" s="260"/>
      <c r="IL10" s="260"/>
      <c r="IM10" s="260"/>
      <c r="IN10" s="260"/>
      <c r="IO10" s="260"/>
      <c r="IP10" s="260"/>
      <c r="IQ10" s="260"/>
      <c r="IR10" s="260"/>
      <c r="IS10" s="260"/>
      <c r="IT10" s="260"/>
      <c r="IU10" s="260"/>
      <c r="IV10" s="260"/>
      <c r="IW10" s="260"/>
      <c r="IX10" s="260"/>
      <c r="IY10" s="260"/>
      <c r="IZ10" s="260"/>
      <c r="JA10" s="260"/>
      <c r="JB10" s="260"/>
      <c r="JC10" s="260"/>
      <c r="JD10" s="260"/>
      <c r="JE10" s="260"/>
      <c r="JF10" s="260"/>
      <c r="JG10" s="260"/>
      <c r="JH10" s="260"/>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314" t="str">
        <f>+IFERROR(ROUND(VLOOKUP(LG10&amp;"_"&amp;LH10,Cat_resumido!$C:$DE,Var!$F$2+2,FALSE)/MG10,0),"")</f>
        <v/>
      </c>
      <c r="MM10" s="314"/>
      <c r="MN10" s="314"/>
      <c r="MO10" s="314" t="str">
        <f ca="1">+IFERROR(ROUND(ML10/(1-Var!$F$3),0),"")</f>
        <v/>
      </c>
      <c r="MP10" s="314"/>
      <c r="MQ10" s="314"/>
      <c r="MR10" s="323" t="str">
        <f ca="1">IFERROR(ROUND(MO10*MG10,2),"")</f>
        <v/>
      </c>
      <c r="MS10" s="324"/>
      <c r="MT10" s="325"/>
      <c r="MU10" s="323" t="str">
        <f ca="1">IFERROR(ROUND(MR10*LX10,2),"")</f>
        <v/>
      </c>
      <c r="MV10" s="324"/>
      <c r="MW10" s="325"/>
      <c r="MX10" s="323" t="str">
        <f ca="1">IFERROR(ROUND(MR10+MU10,2),"")</f>
        <v/>
      </c>
      <c r="MY10" s="324"/>
      <c r="MZ10" s="325"/>
      <c r="NH10" s="205" t="s">
        <v>1324</v>
      </c>
      <c r="NI10" s="205"/>
      <c r="NJ10" s="205"/>
      <c r="NK10" s="315">
        <f ca="1">+ROUND(NK9*0.19,2)</f>
        <v>0</v>
      </c>
      <c r="NL10" s="315"/>
      <c r="NM10" s="315"/>
      <c r="NN10" s="315"/>
      <c r="NV10" s="205" t="s">
        <v>1324</v>
      </c>
      <c r="NW10" s="205"/>
      <c r="NX10" s="205"/>
      <c r="NY10" s="315">
        <f ca="1">+ROUND(NY9*0.19,2)</f>
        <v>0</v>
      </c>
      <c r="NZ10" s="315"/>
      <c r="OA10" s="315"/>
      <c r="OB10" s="315"/>
      <c r="OC10"/>
      <c r="OD10"/>
      <c r="OE10"/>
      <c r="OF10"/>
      <c r="OG10"/>
      <c r="OH10"/>
      <c r="OI10"/>
      <c r="OJ10"/>
      <c r="OK10"/>
      <c r="OL10"/>
      <c r="OM10"/>
      <c r="OP10" s="323" t="str">
        <f ca="1">+IFERROR(ROUND(VLOOKUP(NX10&amp;"_"&amp;NY10,Cat_resumido!$C:$CZ,Var!$F$6-2,FALSE)/OM10,2),"")</f>
        <v/>
      </c>
      <c r="OQ10" s="324"/>
      <c r="OR10" s="325"/>
      <c r="OS10" s="314" t="str">
        <f ca="1">+IFERROR(ROUND(OP10/(1-Var!$F$3),2),"")</f>
        <v/>
      </c>
      <c r="OT10" s="314"/>
      <c r="OU10" s="314"/>
      <c r="OV10" s="346"/>
      <c r="OW10" s="346"/>
      <c r="OX10" s="314" t="str">
        <f ca="1">IFERROR(ROUND(OS10*(1-OV10),2),"")</f>
        <v/>
      </c>
      <c r="OY10" s="314"/>
      <c r="OZ10" s="314"/>
      <c r="PA10" s="314" t="str">
        <f ca="1">IFERROR(ROUND(OX10*OM10,2),"")</f>
        <v/>
      </c>
      <c r="PB10" s="314"/>
      <c r="PC10" s="314"/>
      <c r="PD10" s="345"/>
      <c r="PE10" s="345"/>
      <c r="PF10" s="346"/>
      <c r="PG10" s="346"/>
      <c r="PH10" s="314">
        <f>+IFERROR(IF(PD10="SI",ROUND(PA10*PF10,2),0),"")</f>
        <v>0</v>
      </c>
      <c r="PI10" s="314"/>
      <c r="PJ10" s="314"/>
      <c r="PK10" s="314" t="str">
        <f ca="1">+IFERROR(ROUND(PA10+PH10,2),"")</f>
        <v/>
      </c>
      <c r="PL10" s="314"/>
      <c r="PM10" s="314"/>
      <c r="PN10"/>
      <c r="PO10"/>
      <c r="PP10"/>
      <c r="PQ10"/>
      <c r="PR10"/>
      <c r="PS10"/>
      <c r="PT10"/>
      <c r="PU10"/>
      <c r="PV10"/>
      <c r="PW10"/>
      <c r="PX10"/>
      <c r="QA10" s="314" t="str">
        <f>+IFERROR(ROUND(VLOOKUP(PI10&amp;"_"&amp;PJ10,Cat_resumido!$C:$CZ,Var!$F$6-2,FALSE)/1,2),"")</f>
        <v/>
      </c>
      <c r="QB10" s="314"/>
      <c r="QC10" s="314"/>
      <c r="QD10" s="314" t="str">
        <f ca="1">+IFERROR(ROUND(QA10/(1-Var!$F$3),2),"")</f>
        <v/>
      </c>
      <c r="QE10" s="314"/>
      <c r="QF10" s="314"/>
      <c r="QG10" s="451">
        <f ca="1">+IFERROR(ROUND(Cotizacion!$AE$22/QD10,0),0)</f>
        <v>0</v>
      </c>
      <c r="QH10" s="451"/>
      <c r="QI10" s="314" t="str">
        <f ca="1">IFERROR(ROUND((Cotizacion!$AE$22-QS10)/QG10,2),"")</f>
        <v/>
      </c>
      <c r="QJ10" s="314"/>
      <c r="QK10" s="314"/>
      <c r="QL10" s="314" t="str">
        <f ca="1">IFERROR(ROUND(QI10*QG10,2),"")</f>
        <v/>
      </c>
      <c r="QM10" s="314"/>
      <c r="QN10" s="314"/>
      <c r="QO10" s="345"/>
      <c r="QP10" s="345"/>
      <c r="QQ10" s="346"/>
      <c r="QR10" s="346"/>
      <c r="QS10" s="314">
        <f>+IFERROR(IF(QO10="SI",ROUND(Cotizacion!$AE$22-(Cotizacion!$AE$22/(1+QQ10)),2),0),"")</f>
        <v>0</v>
      </c>
      <c r="QT10" s="314"/>
      <c r="QU10" s="314"/>
      <c r="QV10" s="314" t="str">
        <f ca="1">IFERROR(QL10+QS10,"")</f>
        <v/>
      </c>
      <c r="QW10" s="314"/>
      <c r="QX10" s="314"/>
      <c r="QY10"/>
      <c r="QZ10"/>
      <c r="RA10"/>
      <c r="TC10" s="210"/>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2"/>
      <c r="ZF10" s="192"/>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05" t="s">
        <v>1324</v>
      </c>
      <c r="ACR10" s="205"/>
      <c r="ACS10" s="205"/>
      <c r="ACT10" s="315">
        <f>+ROUND(ACT9*0.19,0)</f>
        <v>0</v>
      </c>
      <c r="ACU10" s="315"/>
      <c r="ACV10" s="315"/>
      <c r="ACW10" s="315"/>
      <c r="ADC10" s="397"/>
      <c r="ADD10" s="398"/>
      <c r="ADE10" s="399"/>
      <c r="ADF10" s="314">
        <f ca="1">+IFERROR(ROUND(ADC10/(1-Var!$F$3),2),"")</f>
        <v>0</v>
      </c>
      <c r="ADG10" s="314"/>
      <c r="ADH10" s="314"/>
      <c r="ADI10" s="345"/>
      <c r="ADJ10" s="345"/>
      <c r="ADK10" s="346"/>
      <c r="ADL10" s="346"/>
      <c r="ADM10" s="314">
        <f>+IFERROR(IF(ADI10="SI",ROUND(ADK10*ADF10,0),0),"")</f>
        <v>0</v>
      </c>
      <c r="ADN10" s="314"/>
      <c r="ADO10" s="314"/>
      <c r="ADP10" s="314">
        <f ca="1">+IFERROR(ADM10+ADF10,"")</f>
        <v>0</v>
      </c>
      <c r="ADQ10" s="314"/>
      <c r="ADR10" s="314"/>
      <c r="AGY10" s="75">
        <f>IFERROR(IF(AGY9="Ítem",1,ROW()-ROW(SolCotizacion!$F$28)-5),"error")</f>
        <v>1</v>
      </c>
      <c r="AGZ10" s="191"/>
      <c r="AHA10" s="191"/>
      <c r="AHB10" s="191"/>
      <c r="AHC10" s="191"/>
      <c r="AHD10" s="191"/>
      <c r="AHE10" s="191"/>
      <c r="AHF10" s="191"/>
      <c r="AHG10" s="191"/>
      <c r="AHH10" s="191"/>
      <c r="AHI10" s="191"/>
      <c r="AHJ10" s="191"/>
      <c r="AHK10" s="191"/>
      <c r="AHL10" s="191"/>
      <c r="AHM10" s="191"/>
      <c r="AHN10" s="191"/>
      <c r="AHO10" s="191"/>
      <c r="AHP10" s="191"/>
      <c r="AHQ10" s="191"/>
      <c r="AHR10" s="191"/>
      <c r="AHS10" s="191"/>
      <c r="AHT10" s="191"/>
      <c r="AHU10" s="191"/>
      <c r="AHV10" s="191"/>
      <c r="AHW10" s="191"/>
      <c r="AHX10" s="191"/>
      <c r="AHY10" s="191"/>
      <c r="AHZ10" s="191"/>
      <c r="AIA10" s="191"/>
      <c r="AIB10" s="191"/>
      <c r="AIC10" s="191"/>
      <c r="AIO10" s="192"/>
      <c r="AIP10" s="192"/>
      <c r="AIQ10" s="192"/>
      <c r="AJH10" s="155">
        <f>IFERROR(IF(AJH9="Ítem",1,ROW()-ROW(SolCotizacion!#REF!)),ROW()-ROW(SolCotizacion!#REF!))</f>
        <v>1</v>
      </c>
      <c r="AJI10" s="316" t="str">
        <f>+SolCotizacion!$I$28</f>
        <v>min03-P1</v>
      </c>
      <c r="AJJ10" s="316"/>
      <c r="AJK10" s="316"/>
      <c r="AJL10" s="321" t="str">
        <f>+SolCotizacion!$L$28</f>
        <v>BOTA DE COMBATE MEDIA CAÑA EN CUERO SISTEMA VULCANIZADO E INYECCIÓN DIRECTA_según NTMD vigente</v>
      </c>
      <c r="AJM10" s="321"/>
      <c r="AJN10" s="321"/>
      <c r="AJO10" s="321"/>
      <c r="AJP10" s="321"/>
      <c r="AJQ10" s="321"/>
      <c r="AJR10" s="321"/>
      <c r="AJS10" s="321"/>
      <c r="AJT10" s="321"/>
      <c r="AJU10" s="321"/>
      <c r="AJV10" s="321"/>
      <c r="AJW10" s="322">
        <v>145</v>
      </c>
      <c r="AJX10" s="322"/>
      <c r="AJY10" s="322"/>
      <c r="AJZ10" s="314">
        <f>+IFERROR(ROUND(VLOOKUP(AJH10&amp;"_"&amp;AJI10,Cat_resumido!$C:$DE,Var!$F$2-2,FALSE)/AJW10,2),"")</f>
        <v>404055</v>
      </c>
      <c r="AKA10" s="314"/>
      <c r="AKB10" s="314"/>
      <c r="AKC10" s="314">
        <f ca="1">+IFERROR(ROUND(AJZ10/(1-Var!$F$3),0),"")</f>
        <v>408136</v>
      </c>
      <c r="AKD10" s="314"/>
      <c r="AKE10" s="314"/>
      <c r="AKF10" s="323">
        <f ca="1">IFERROR(ROUND(AJW10*AKC10,2),"")</f>
        <v>59179720</v>
      </c>
      <c r="AKG10" s="324"/>
      <c r="AKH10" s="324"/>
      <c r="AKI10" s="325"/>
      <c r="AKR10" s="155">
        <f>IFERROR(IF(AKR9="Ítem",1,ROW()-ROW(SolCotizacion!#REF!)),ROW()-ROW(SolCotizacion!#REF!))</f>
        <v>1</v>
      </c>
      <c r="AKS10" s="316" t="str">
        <f>+SolCotizacion!$I$28</f>
        <v>min03-P1</v>
      </c>
      <c r="AKT10" s="316"/>
      <c r="AKU10" s="316"/>
      <c r="AKV10" s="477" t="str">
        <f>+SolCotizacion!$L$28</f>
        <v>BOTA DE COMBATE MEDIA CAÑA EN CUERO SISTEMA VULCANIZADO E INYECCIÓN DIRECTA_según NTMD vigente</v>
      </c>
      <c r="AKW10" s="478"/>
      <c r="AKX10" s="478"/>
      <c r="AKY10" s="478"/>
      <c r="AKZ10" s="478"/>
      <c r="ALA10" s="478"/>
      <c r="ALB10" s="478"/>
      <c r="ALC10" s="478"/>
      <c r="ALD10" s="478"/>
      <c r="ALE10" s="478"/>
      <c r="ALF10" s="478"/>
      <c r="ALG10" s="478"/>
      <c r="ALH10" s="478"/>
      <c r="ALI10" s="479"/>
      <c r="ALJ10" s="322">
        <v>1</v>
      </c>
      <c r="ALK10" s="322"/>
      <c r="ALL10" s="322"/>
      <c r="ALM10" s="314">
        <f>+IFERROR(ROUND(VLOOKUP(AKR10&amp;"_"&amp;AKS10,Cat_resumido!$C:$DE,Var!$F$2-2,FALSE)/1,2),"")</f>
        <v>58587975</v>
      </c>
      <c r="ALN10" s="314"/>
      <c r="ALO10" s="314"/>
      <c r="ALP10" s="323">
        <f ca="1">+IFERROR(ROUND(ALM10/(1-Var!$F$3),0),"")</f>
        <v>59179773</v>
      </c>
      <c r="ALQ10" s="324"/>
      <c r="ALR10" s="324"/>
      <c r="ALS10" s="325"/>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21" t="str">
        <f>+IFERROR(VLOOKUP(AOR10,Consolidacion_respuestas!$B:$BM,MATCH(AMZ9,Consolidacion_respuestas!$33:$33,0)-1,FALSE),"")</f>
        <v/>
      </c>
      <c r="ANA10" s="321" t="str">
        <f>+IFERROR(VLOOKUP($AOR10,Consolidacion_respuestas!$B:$BM,MATCH(Cuadros!ANA9,Consolidacion_respuestas!$33:$33,0)-1,FALSE),"")</f>
        <v/>
      </c>
      <c r="ANB10" s="321" t="str">
        <f>+IFERROR(VLOOKUP($AOR10,Consolidacion_respuestas!$B:$BM,MATCH(Cuadros!ANB9,Consolidacion_respuestas!$33:$33,0)-1,FALSE),"")</f>
        <v/>
      </c>
      <c r="ANC10" s="321" t="str">
        <f>+IFERROR(VLOOKUP($AOR10,Consolidacion_respuestas!$B:$BM,MATCH(Cuadros!ANC9,Consolidacion_respuestas!$33:$33,0)-1,FALSE),"")</f>
        <v/>
      </c>
      <c r="AND10" s="321" t="str">
        <f>+IFERROR(VLOOKUP($AOR10,Consolidacion_respuestas!$B:$BM,MATCH(Cuadros!AND9,Consolidacion_respuestas!$33:$33,0)-1,FALSE),"")</f>
        <v/>
      </c>
      <c r="ANE10" s="321" t="str">
        <f>+IFERROR(VLOOKUP($AOR10,Consolidacion_respuestas!$B:$BM,MATCH(Cuadros!ANE9,Consolidacion_respuestas!$33:$33,0)-1,FALSE),"")</f>
        <v/>
      </c>
      <c r="ANF10" s="321" t="str">
        <f>+IFERROR(VLOOKUP($AOR10,Consolidacion_respuestas!$B:$BM,MATCH(Cuadros!ANF9,Consolidacion_respuestas!$33:$33,0)-1,FALSE),"")</f>
        <v/>
      </c>
      <c r="ANG10" s="321" t="str">
        <f>+IFERROR(VLOOKUP($AOR10,Consolidacion_respuestas!$B:$BM,MATCH(Cuadros!ANG9,Consolidacion_respuestas!$33:$33,0)-1,FALSE),"")</f>
        <v/>
      </c>
      <c r="ANH10" s="321" t="str">
        <f>+IFERROR(VLOOKUP($AOR10,Consolidacion_respuestas!$B:$BM,MATCH(Cuadros!ANH9,Consolidacion_respuestas!$33:$33,0)-1,FALSE),"")</f>
        <v/>
      </c>
      <c r="ANI10" s="321" t="str">
        <f>+IFERROR(VLOOKUP($AOR10,Consolidacion_respuestas!$B:$BM,MATCH(Cuadros!ANI9,Consolidacion_respuestas!$33:$33,0)-1,FALSE),"")</f>
        <v/>
      </c>
      <c r="ANJ10" s="321"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4" t="str">
        <f>+IFERROR(VLOOKUP(AOR10,Consolidacion_respuestas!$B:$BM,MATCH(ANN9,Consolidacion_respuestas!$33:$33,0)-1,FALSE),"")</f>
        <v/>
      </c>
      <c r="ANO10" s="314" t="str">
        <f>+IFERROR(VLOOKUP($AOR10,Consolidacion_respuestas!$B:$BM,MATCH(Cuadros!ANO9,Consolidacion_respuestas!$33:$33,0)-1,FALSE),"")</f>
        <v/>
      </c>
      <c r="ANP10" s="314" t="str">
        <f>+IFERROR(VLOOKUP($AOR10,Consolidacion_respuestas!$B:$BM,MATCH(Cuadros!ANP9,Consolidacion_respuestas!$33:$33,0)-1,FALSE),"")</f>
        <v/>
      </c>
      <c r="ANQ10" s="314" t="str">
        <f>+IFERROR(VLOOKUP(AOR10,Consolidacion_respuestas!$B:$BM,MATCH(ANQ9,Consolidacion_respuestas!$33:$33,0)-1,FALSE),"")</f>
        <v/>
      </c>
      <c r="ANR10" s="314" t="str">
        <f>+IFERROR(VLOOKUP($AOR10,Consolidacion_respuestas!$B:$BM,MATCH(Cuadros!ANR9,Consolidacion_respuestas!$33:$33,0)-1,FALSE),"")</f>
        <v/>
      </c>
      <c r="ANS10" s="314"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314" t="str">
        <f>+IFERROR(VLOOKUP(AOR10,Consolidacion_respuestas!$B:$BM,MATCH(ANV9,Consolidacion_respuestas!$33:$33,0)-1,FALSE),"")</f>
        <v/>
      </c>
      <c r="ANW10" s="314" t="str">
        <f>+IFERROR(VLOOKUP($AOR10,Consolidacion_respuestas!$B:$BM,MATCH(Cuadros!ANW9,Consolidacion_respuestas!$33:$33,0)-1,FALSE),"")</f>
        <v/>
      </c>
      <c r="ANX10" s="314" t="str">
        <f>+IFERROR(VLOOKUP($AOR10,Consolidacion_respuestas!$B:$BM,MATCH(Cuadros!ANX9,Consolidacion_respuestas!$33:$33,0)-1,FALSE),"")</f>
        <v/>
      </c>
      <c r="ANY10" s="314" t="str">
        <f>+IFERROR(VLOOKUP(AOR10,Consolidacion_respuestas!$B:$BM,MATCH(ANY9,Consolidacion_respuestas!$33:$33,0)-1,FALSE),"")</f>
        <v/>
      </c>
      <c r="ANZ10" s="314" t="str">
        <f>+IFERROR(VLOOKUP($AOR10,Consolidacion_respuestas!$B:$BM,MATCH(Cuadros!ANZ9,Consolidacion_respuestas!$33:$33,0)-1,FALSE),"")</f>
        <v/>
      </c>
      <c r="AOA10" s="314" t="str">
        <f>+IFERROR(VLOOKUP($AOR10,Consolidacion_respuestas!$B:$BM,MATCH(Cuadros!AOA9,Consolidacion_respuestas!$33:$33,0)-1,FALSE),"")</f>
        <v/>
      </c>
      <c r="AOB10" s="321" t="str">
        <f>+IFERROR(VLOOKUP(AOR10,Consolidacion_respuestas!$B:$BM,MATCH(AOB9,Consolidacion_respuestas!$33:$33,0)-1,FALSE),"")</f>
        <v/>
      </c>
      <c r="AOC10" s="321"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314" t="str">
        <f>+IFERROR(VLOOKUP(AOR10,Consolidacion_respuestas!$B:$BM,MATCH(AOF9,Consolidacion_respuestas!$33:$33,0)-1,FALSE),"")</f>
        <v/>
      </c>
      <c r="AOG10" s="314" t="str">
        <f>+IFERROR(VLOOKUP($AOR10,Consolidacion_respuestas!$B:$BM,MATCH(Cuadros!AOG9,Consolidacion_respuestas!$33:$33,0)-1,FALSE),"")</f>
        <v/>
      </c>
      <c r="AOH10" s="314" t="str">
        <f>+IFERROR(VLOOKUP($AOR10,Consolidacion_respuestas!$B:$BM,MATCH(Cuadros!AOH9,Consolidacion_respuestas!$33:$33,0)-1,FALSE),"")</f>
        <v/>
      </c>
      <c r="AOI10" s="314" t="str">
        <f>+IFERROR(VLOOKUP(AOR10,Consolidacion_respuestas!$B:$BM,MATCH(AOI9,Consolidacion_respuestas!$33:$33,0)-1,FALSE),"")</f>
        <v/>
      </c>
      <c r="AOJ10" s="314" t="str">
        <f>+IFERROR(VLOOKUP($AOR10,Consolidacion_respuestas!$B:$BM,MATCH(Cuadros!AOJ9,Consolidacion_respuestas!$33:$33,0)-1,FALSE),"")</f>
        <v/>
      </c>
      <c r="AOK10" s="314"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21" t="str">
        <f>+IFERROR(VLOOKUP(AOR10,Consolidacion_respuestas!$B:$BM,MATCH(AOO9,Consolidacion_respuestas!$33:$33,0)-1,FALSE),"")</f>
        <v/>
      </c>
      <c r="AOP10" s="321" t="str">
        <f>+IFERROR(VLOOKUP($AOR10,Consolidacion_respuestas!$B:$BM,MATCH(Cuadros!AOP9,Consolidacion_respuestas!$33:$33,0)-1,FALSE),"")</f>
        <v/>
      </c>
      <c r="AOQ10" s="321"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65" t="str">
        <f>"Versión:" &amp; Var!$F$10</f>
        <v>Versión:7        05/02/2026</v>
      </c>
      <c r="FT11" s="265"/>
      <c r="FU11" s="265"/>
      <c r="FV11" s="265"/>
      <c r="FW11" s="265"/>
      <c r="FX11" s="265"/>
      <c r="FY11" s="261" t="str">
        <f>+Var!$F$21</f>
        <v>Material de Intendencia III</v>
      </c>
      <c r="FZ11" s="261"/>
      <c r="GA11" s="261"/>
      <c r="GB11" s="261"/>
      <c r="GC11" s="261"/>
      <c r="GD11" s="261"/>
      <c r="GE11" s="261"/>
      <c r="GF11" s="261"/>
      <c r="GG11" s="261"/>
      <c r="GH11" s="261"/>
      <c r="GI11" s="261"/>
      <c r="GJ11" s="261"/>
      <c r="GK11" s="261"/>
      <c r="GL11" s="261"/>
      <c r="GM11" s="261"/>
      <c r="GN11" s="261"/>
      <c r="GO11" s="60"/>
      <c r="GP11" s="60"/>
      <c r="GQ11" s="60"/>
      <c r="GR11" s="60"/>
      <c r="GS11" s="60"/>
      <c r="GT11" s="60"/>
      <c r="GU11" s="53"/>
      <c r="GV11" s="53"/>
      <c r="GW11" s="53"/>
      <c r="GX11" s="53"/>
      <c r="GY11" s="53"/>
      <c r="GZ11" s="265" t="str">
        <f>"Versión:" &amp; Var!$F$10</f>
        <v>Versión:7        05/02/2026</v>
      </c>
      <c r="HA11" s="265"/>
      <c r="HB11" s="265"/>
      <c r="HC11" s="265"/>
      <c r="HD11" s="265"/>
      <c r="HE11" s="265"/>
      <c r="HF11" s="261" t="str">
        <f>+Var!$F$21</f>
        <v>Material de Intendencia III</v>
      </c>
      <c r="HG11" s="261"/>
      <c r="HH11" s="261"/>
      <c r="HI11" s="261"/>
      <c r="HJ11" s="261"/>
      <c r="HK11" s="261"/>
      <c r="HL11" s="261"/>
      <c r="HM11" s="261"/>
      <c r="HN11" s="261"/>
      <c r="HO11" s="261"/>
      <c r="HP11" s="261"/>
      <c r="HQ11" s="261"/>
      <c r="HR11" s="261"/>
      <c r="HS11" s="261"/>
      <c r="HT11" s="261"/>
      <c r="HU11" s="261"/>
      <c r="HV11" s="60"/>
      <c r="HW11" s="60"/>
      <c r="HX11" s="60"/>
      <c r="HY11" s="60"/>
      <c r="HZ11" s="60"/>
      <c r="IA11" s="60"/>
      <c r="IB11" s="53"/>
      <c r="IC11" s="53"/>
      <c r="ID11" s="53"/>
      <c r="IE11" s="53"/>
      <c r="IF11" s="53"/>
      <c r="IG11" s="265" t="str">
        <f>"Versión:" &amp; Var!$F$10</f>
        <v>Versión:7        05/02/2026</v>
      </c>
      <c r="IH11" s="265"/>
      <c r="II11" s="265"/>
      <c r="IJ11" s="265"/>
      <c r="IK11" s="265"/>
      <c r="IL11" s="265"/>
      <c r="IM11" s="261" t="str">
        <f>+Var!$F$21</f>
        <v>Material de Intendencia III</v>
      </c>
      <c r="IN11" s="261"/>
      <c r="IO11" s="261"/>
      <c r="IP11" s="261"/>
      <c r="IQ11" s="261"/>
      <c r="IR11" s="261"/>
      <c r="IS11" s="261"/>
      <c r="IT11" s="261"/>
      <c r="IU11" s="261"/>
      <c r="IV11" s="261"/>
      <c r="IW11" s="261"/>
      <c r="IX11" s="261"/>
      <c r="IY11" s="261"/>
      <c r="IZ11" s="261"/>
      <c r="JA11" s="261"/>
      <c r="JB11" s="261"/>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05" t="s">
        <v>1325</v>
      </c>
      <c r="NI11" s="205"/>
      <c r="NJ11" s="205"/>
      <c r="NK11" s="314">
        <f ca="1">+NK10+NK9</f>
        <v>0</v>
      </c>
      <c r="NL11" s="314"/>
      <c r="NM11" s="314"/>
      <c r="NN11" s="314"/>
      <c r="NV11" s="205" t="s">
        <v>3923</v>
      </c>
      <c r="NW11" s="205"/>
      <c r="NX11" s="205"/>
      <c r="NY11" s="314">
        <f ca="1">+NY10+NY9</f>
        <v>0</v>
      </c>
      <c r="NZ11" s="314"/>
      <c r="OA11" s="314"/>
      <c r="OB11" s="314"/>
      <c r="OC11"/>
      <c r="OD11"/>
      <c r="OE11"/>
      <c r="OF11"/>
      <c r="OG11"/>
      <c r="OH11"/>
      <c r="OI11"/>
      <c r="OJ11"/>
      <c r="OK11"/>
      <c r="OL11"/>
      <c r="OM11"/>
      <c r="PN11"/>
      <c r="PO11"/>
      <c r="PP11"/>
      <c r="PQ11"/>
      <c r="PR11"/>
      <c r="PS11"/>
      <c r="PT11"/>
      <c r="PU11"/>
      <c r="PV11"/>
      <c r="PW11"/>
      <c r="PX11"/>
      <c r="QY11"/>
      <c r="QZ11"/>
      <c r="RA11"/>
      <c r="TC11" s="211"/>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05" t="s">
        <v>1325</v>
      </c>
      <c r="ACR11" s="205"/>
      <c r="ACS11" s="205"/>
      <c r="ACT11" s="314">
        <f>+ACT10+ACT9</f>
        <v>0</v>
      </c>
      <c r="ACU11" s="314"/>
      <c r="ACV11" s="314"/>
      <c r="ACW11" s="314"/>
    </row>
    <row r="12" spans="1:1090" ht="30" customHeight="1" thickBot="1">
      <c r="FS12" s="266"/>
      <c r="FT12" s="266"/>
      <c r="FU12" s="266"/>
      <c r="FV12" s="266"/>
      <c r="FW12" s="266"/>
      <c r="FX12" s="266"/>
      <c r="FY12" s="261"/>
      <c r="FZ12" s="261"/>
      <c r="GA12" s="261"/>
      <c r="GB12" s="261"/>
      <c r="GC12" s="261"/>
      <c r="GD12" s="261"/>
      <c r="GE12" s="261"/>
      <c r="GF12" s="261"/>
      <c r="GG12" s="261"/>
      <c r="GH12" s="261"/>
      <c r="GI12" s="261"/>
      <c r="GJ12" s="261"/>
      <c r="GK12" s="261"/>
      <c r="GL12" s="261"/>
      <c r="GM12" s="261"/>
      <c r="GN12" s="261"/>
      <c r="GO12" s="60"/>
      <c r="GP12" s="60"/>
      <c r="GQ12" s="60"/>
      <c r="GR12" s="60"/>
      <c r="GS12" s="60"/>
      <c r="GT12" s="60"/>
      <c r="GU12" s="53"/>
      <c r="GV12" s="53"/>
      <c r="GW12" s="53"/>
      <c r="GX12" s="53"/>
      <c r="GY12" s="53"/>
      <c r="GZ12" s="266"/>
      <c r="HA12" s="266"/>
      <c r="HB12" s="266"/>
      <c r="HC12" s="266"/>
      <c r="HD12" s="266"/>
      <c r="HE12" s="266"/>
      <c r="HF12" s="261"/>
      <c r="HG12" s="261"/>
      <c r="HH12" s="261"/>
      <c r="HI12" s="261"/>
      <c r="HJ12" s="261"/>
      <c r="HK12" s="261"/>
      <c r="HL12" s="261"/>
      <c r="HM12" s="261"/>
      <c r="HN12" s="261"/>
      <c r="HO12" s="261"/>
      <c r="HP12" s="261"/>
      <c r="HQ12" s="261"/>
      <c r="HR12" s="261"/>
      <c r="HS12" s="261"/>
      <c r="HT12" s="261"/>
      <c r="HU12" s="261"/>
      <c r="HV12" s="60"/>
      <c r="HW12" s="60"/>
      <c r="HX12" s="60"/>
      <c r="HY12" s="60"/>
      <c r="HZ12" s="60"/>
      <c r="IA12" s="60"/>
      <c r="IB12" s="53"/>
      <c r="IC12" s="53"/>
      <c r="ID12" s="53"/>
      <c r="IE12" s="53"/>
      <c r="IF12" s="53"/>
      <c r="IG12" s="266"/>
      <c r="IH12" s="266"/>
      <c r="II12" s="266"/>
      <c r="IJ12" s="266"/>
      <c r="IK12" s="266"/>
      <c r="IL12" s="266"/>
      <c r="IM12" s="261"/>
      <c r="IN12" s="261"/>
      <c r="IO12" s="261"/>
      <c r="IP12" s="261"/>
      <c r="IQ12" s="261"/>
      <c r="IR12" s="261"/>
      <c r="IS12" s="261"/>
      <c r="IT12" s="261"/>
      <c r="IU12" s="261"/>
      <c r="IV12" s="261"/>
      <c r="IW12" s="261"/>
      <c r="IX12" s="261"/>
      <c r="IY12" s="261"/>
      <c r="IZ12" s="261"/>
      <c r="JA12" s="261"/>
      <c r="JB12" s="261"/>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05" t="s">
        <v>3928</v>
      </c>
      <c r="NW12" s="205"/>
      <c r="NX12" s="205"/>
      <c r="NY12" s="459" t="str">
        <f ca="1">+IFERROR(ROUND(ResCotizacion!$AE$22/NY11,0),"")</f>
        <v/>
      </c>
      <c r="NZ12" s="460"/>
      <c r="OA12" s="460"/>
      <c r="OB12" s="461"/>
      <c r="TC12" s="212"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62" t="s">
        <v>3909</v>
      </c>
      <c r="FT13" s="262"/>
      <c r="FU13" s="262"/>
      <c r="FV13" s="262"/>
      <c r="FW13" s="262"/>
      <c r="FX13" s="262"/>
      <c r="FY13" s="262"/>
      <c r="FZ13" s="262"/>
      <c r="GA13" s="262"/>
      <c r="GB13" s="262"/>
      <c r="GC13" s="262"/>
      <c r="GD13" s="262"/>
      <c r="GE13" s="262"/>
      <c r="GF13" s="262"/>
      <c r="GG13" s="262"/>
      <c r="GH13" s="262"/>
      <c r="GI13" s="262"/>
      <c r="GJ13" s="262"/>
      <c r="GK13" s="262"/>
      <c r="GL13" s="262"/>
      <c r="GM13" s="262"/>
      <c r="GN13" s="262"/>
      <c r="GO13" s="262"/>
      <c r="GP13" s="262"/>
      <c r="GQ13" s="262"/>
      <c r="GR13" s="262"/>
      <c r="GS13" s="262"/>
      <c r="GT13" s="262"/>
      <c r="GZ13" s="262" t="s">
        <v>3909</v>
      </c>
      <c r="HA13" s="262"/>
      <c r="HB13" s="262"/>
      <c r="HC13" s="262"/>
      <c r="HD13" s="262"/>
      <c r="HE13" s="262"/>
      <c r="HF13" s="262"/>
      <c r="HG13" s="262"/>
      <c r="HH13" s="262"/>
      <c r="HI13" s="262"/>
      <c r="HJ13" s="262"/>
      <c r="HK13" s="262"/>
      <c r="HL13" s="262"/>
      <c r="HM13" s="262"/>
      <c r="HN13" s="262"/>
      <c r="HO13" s="262"/>
      <c r="HP13" s="262"/>
      <c r="HQ13" s="262"/>
      <c r="HR13" s="262"/>
      <c r="HS13" s="262"/>
      <c r="HT13" s="262"/>
      <c r="HU13" s="262"/>
      <c r="HV13" s="262"/>
      <c r="HW13" s="262"/>
      <c r="HX13" s="262"/>
      <c r="HY13" s="262"/>
      <c r="HZ13" s="262"/>
      <c r="IA13" s="262"/>
      <c r="IG13" s="262" t="s">
        <v>3909</v>
      </c>
      <c r="IH13" s="262"/>
      <c r="II13" s="262"/>
      <c r="IJ13" s="262"/>
      <c r="IK13" s="262"/>
      <c r="IL13" s="262"/>
      <c r="IM13" s="262"/>
      <c r="IN13" s="262"/>
      <c r="IO13" s="262"/>
      <c r="IP13" s="262"/>
      <c r="IQ13" s="262"/>
      <c r="IR13" s="262"/>
      <c r="IS13" s="262"/>
      <c r="IT13" s="262"/>
      <c r="IU13" s="262"/>
      <c r="IV13" s="262"/>
      <c r="IW13" s="262"/>
      <c r="IX13" s="262"/>
      <c r="IY13" s="262"/>
      <c r="IZ13" s="262"/>
      <c r="JA13" s="262"/>
      <c r="JB13" s="262"/>
      <c r="JC13" s="262"/>
      <c r="JD13" s="262"/>
      <c r="JE13" s="262"/>
      <c r="JF13" s="262"/>
      <c r="JG13" s="262"/>
      <c r="JH13" s="262"/>
      <c r="TC13" s="213"/>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0"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2"/>
      <c r="UR14" s="192"/>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0"/>
    </row>
    <row r="16" spans="1:1090">
      <c r="TC16" s="220" t="s">
        <v>259</v>
      </c>
      <c r="VK16" t="s">
        <v>1395</v>
      </c>
    </row>
    <row r="17" spans="1:583">
      <c r="TC17" s="220"/>
      <c r="VK17" t="s">
        <v>1396</v>
      </c>
    </row>
    <row r="18" spans="1:583">
      <c r="TC18" s="206" t="s">
        <v>164</v>
      </c>
      <c r="VK18" t="s">
        <v>1397</v>
      </c>
    </row>
    <row r="19" spans="1:583">
      <c r="A19">
        <f>+ROUND(A21,0)</f>
        <v>45</v>
      </c>
      <c r="TC19" s="206"/>
    </row>
    <row r="20" spans="1:583" ht="14.25" customHeight="1">
      <c r="TC20" s="234" t="s">
        <v>165</v>
      </c>
    </row>
    <row r="21" spans="1:583">
      <c r="A21">
        <v>45.384512000000001</v>
      </c>
      <c r="TC21" s="213"/>
    </row>
    <row r="22" spans="1:583">
      <c r="A22">
        <v>12</v>
      </c>
      <c r="TC22" s="206" t="s">
        <v>166</v>
      </c>
    </row>
    <row r="23" spans="1:583">
      <c r="TC23" s="206"/>
    </row>
    <row r="24" spans="1:583">
      <c r="TC24" s="234" t="s">
        <v>167</v>
      </c>
    </row>
    <row r="25" spans="1:583">
      <c r="A25">
        <f>+A22*A21</f>
        <v>544.61414400000001</v>
      </c>
      <c r="TC25" s="213"/>
    </row>
    <row r="26" spans="1:583">
      <c r="A26">
        <f>+A25/A22</f>
        <v>45.384512000000001</v>
      </c>
      <c r="TC26" s="206" t="s">
        <v>1366</v>
      </c>
    </row>
    <row r="27" spans="1:583">
      <c r="TC27" s="207"/>
    </row>
  </sheetData>
  <sheetProtection algorithmName="SHA-512" hashValue="gi/FcaytCBpZSVr84pO7lcFY986Y/xph516zzsQHZbGu3hdsfjkHBruMXU/RX6uC2uobNRgGUxX53JNasy5S2w==" saltValue="SbNg3MNLtjX+rx6TFDUhzw=="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aSFFCPr1NtxCkkJNCnCsdEgxv3u9qL0QvJX+W4YQfU+tQXzEJs0qBEKGCEz72BhSWuE2LLgFnufZPW3U71Thw==" saltValue="G4v0Kcc+SjMRlZG7nRz1Bw=="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6IUTSC8a6QSsKNuN3J4BZRxnfYjJkVr3eiiUZduqsvLApCJNwR6xKqoBqkGjKZfWcti7jMCxNxyS08FnpC5hpA==" saltValue="PXLM3ALYpnbCxCuzGqC13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13</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d3+UAb1giQodfkGIcDZn7fbc//Frj5cp+QGqsXVGzqokwAWammqdAJoRzavS+exZWPpYWSB2lg/ShDAlVfo/kw==" saltValue="0XypSkU8toKb6gzkZikDLw=="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zuJPSc7+JLaWMYFtoaUraPSCJjMCHuc51bXC5PMztxL1lTvnHWVZFvaEMbb7lw8p/pQ1wxe4FAsirbd+jB7gUA==" saltValue="Y1um168TruQBK7MOnLcAyw=="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9n+5aw3Zq8Qz7E7KWSLg/ou9KniMjAYir4IS36jTd3uEfV0xwH+Nb+tX4adG+L2ulukwejNhTUzeHdZwbJT0+A==" saltValue="6/I54zmxARVX1yb+6iZVDQ=="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jthxoZAw7153iBQ01ju+OuqyCjW3nZiqVoyZ9B7TZPZeEfeNSSadn7nBW0nToBn5Ofw5S07XhY3nllNNDTTWPw==" saltValue="ShGz+euF7pCK/ArC3vhD9g=="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pexsWiUsCtM2Sw1gxYg+hA9E0EZ8v3VTFShy+rs4Ea1FseRRnhmyoQATVJXsFpYZ1DFwIhrDoitjv+0SU+Lj2w==" saltValue="kjhioXQZX8Nyu3vhdzD45A=="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FrfmfuJZ8pPY2sSy424zZpZAkBti+Cxh8QmFEOQZ+KhuH7iUNhya7FPrDl/HkI6iXDb9z/HIyu+KM+XnVD/Ndw==" saltValue="fihxZhxjY+LWKqZXumspjA=="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Ezy1xbEmlHR8p6ue4jn3NyVkbJLWHanOHt5cksUmorUXEK6MdJtyZ6XgJOwzldU1bWdxBcye602SXUctOJpXEA==" saltValue="AIDBA1Vlz4GSu5/7we27Lg=="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60" t="s">
        <v>1387</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t="s">
        <v>3949</v>
      </c>
      <c r="B4" s="32">
        <v>1</v>
      </c>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8" ht="13.9" hidden="1" customHeight="1">
      <c r="A5" s="209" t="s">
        <v>170</v>
      </c>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0"/>
    </row>
    <row r="7" spans="1:38" ht="14.25" hidden="1" customHeight="1">
      <c r="A7" s="211"/>
    </row>
    <row r="8" spans="1:38" ht="14.25" hidden="1" customHeight="1">
      <c r="A8" s="212" t="s">
        <v>162</v>
      </c>
    </row>
    <row r="9" spans="1:38" ht="14.25" hidden="1" customHeight="1">
      <c r="A9" s="213"/>
    </row>
    <row r="10" spans="1:38" ht="27.95" customHeight="1">
      <c r="A10" s="219" t="s">
        <v>163</v>
      </c>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8" ht="4.5" customHeight="1">
      <c r="A11" s="219"/>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0" t="s">
        <v>259</v>
      </c>
      <c r="F12" s="214" t="s">
        <v>106</v>
      </c>
      <c r="G12" s="215"/>
      <c r="H12" s="215"/>
      <c r="I12" s="215"/>
      <c r="J12" s="216"/>
      <c r="K12" s="217" t="s">
        <v>8688</v>
      </c>
      <c r="L12" s="218"/>
      <c r="M12" s="218"/>
      <c r="N12" s="218"/>
      <c r="O12" s="218"/>
      <c r="P12" s="218"/>
      <c r="Q12" s="218"/>
      <c r="R12" s="218"/>
      <c r="S12" s="218"/>
      <c r="T12" s="235" t="s">
        <v>107</v>
      </c>
      <c r="U12" s="236"/>
      <c r="V12" s="236"/>
      <c r="W12" s="236"/>
      <c r="X12" s="236"/>
      <c r="Y12" s="263">
        <v>800130690</v>
      </c>
      <c r="Z12" s="263"/>
      <c r="AA12" s="263"/>
      <c r="AB12" s="263"/>
      <c r="AC12" s="263"/>
      <c r="AD12" s="263"/>
      <c r="AE12" s="263"/>
      <c r="AF12" s="263"/>
      <c r="AG12" s="263"/>
    </row>
    <row r="13" spans="1:38" ht="3.75" customHeight="1">
      <c r="A13" s="220"/>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06" t="s">
        <v>164</v>
      </c>
      <c r="F14" s="214" t="s">
        <v>108</v>
      </c>
      <c r="G14" s="215"/>
      <c r="H14" s="215"/>
      <c r="I14" s="215"/>
      <c r="J14" s="216"/>
      <c r="K14" s="217" t="s">
        <v>8689</v>
      </c>
      <c r="L14" s="218"/>
      <c r="M14" s="218"/>
      <c r="N14" s="218"/>
      <c r="O14" s="218"/>
      <c r="P14" s="218"/>
      <c r="Q14" s="218"/>
      <c r="R14" s="218"/>
      <c r="S14" s="218"/>
      <c r="T14" s="214" t="s">
        <v>156</v>
      </c>
      <c r="U14" s="215"/>
      <c r="V14" s="215"/>
      <c r="W14" s="215"/>
      <c r="X14" s="215"/>
      <c r="Y14" s="264" t="s">
        <v>2866</v>
      </c>
      <c r="Z14" s="264"/>
      <c r="AA14" s="264"/>
      <c r="AB14" s="264"/>
      <c r="AC14" s="264"/>
      <c r="AD14" s="264"/>
      <c r="AE14" s="264"/>
      <c r="AF14" s="264"/>
      <c r="AG14" s="264"/>
    </row>
    <row r="15" spans="1:38" ht="2.25" customHeight="1">
      <c r="A15" s="206"/>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34" t="s">
        <v>165</v>
      </c>
      <c r="F16" s="235" t="s">
        <v>110</v>
      </c>
      <c r="G16" s="236"/>
      <c r="H16" s="236"/>
      <c r="I16" s="236"/>
      <c r="J16" s="236"/>
      <c r="K16" s="217" t="s">
        <v>8690</v>
      </c>
      <c r="L16" s="218"/>
      <c r="M16" s="218"/>
      <c r="N16" s="218"/>
      <c r="O16" s="218"/>
      <c r="P16" s="218"/>
      <c r="Q16" s="218"/>
      <c r="R16" s="218"/>
      <c r="S16" s="218"/>
      <c r="T16" s="242" t="s">
        <v>109</v>
      </c>
      <c r="U16" s="243"/>
      <c r="V16" s="243"/>
      <c r="W16" s="243"/>
      <c r="X16" s="243"/>
      <c r="Y16" s="263">
        <v>3234801420</v>
      </c>
      <c r="Z16" s="263"/>
      <c r="AA16" s="263"/>
      <c r="AB16" s="263"/>
      <c r="AC16" s="263"/>
      <c r="AD16" s="263"/>
      <c r="AE16" s="263"/>
      <c r="AF16" s="263"/>
      <c r="AG16" s="263"/>
    </row>
    <row r="17" spans="1:49" ht="3" customHeight="1">
      <c r="A17" s="213"/>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237" t="s">
        <v>8691</v>
      </c>
      <c r="L18" s="238"/>
      <c r="M18" s="238"/>
      <c r="N18" s="238"/>
      <c r="O18" s="238"/>
      <c r="P18" s="238"/>
      <c r="Q18" s="238"/>
      <c r="R18" s="238"/>
      <c r="S18" s="239"/>
      <c r="T18"/>
      <c r="U18"/>
      <c r="V18"/>
      <c r="W18"/>
      <c r="X18"/>
      <c r="Y18"/>
      <c r="Z18"/>
      <c r="AA18"/>
      <c r="AB18"/>
      <c r="AC18"/>
      <c r="AD18"/>
      <c r="AE18"/>
      <c r="AF18"/>
      <c r="AG18"/>
      <c r="AH18"/>
      <c r="AI18"/>
      <c r="AJ18"/>
      <c r="AK18"/>
      <c r="AQ18"/>
      <c r="AR18"/>
      <c r="AS18"/>
      <c r="AT18"/>
      <c r="AU18"/>
      <c r="AV18"/>
      <c r="AW18"/>
    </row>
    <row r="19" spans="1:49" ht="9.75" customHeight="1">
      <c r="A19" s="206"/>
    </row>
    <row r="20" spans="1:49" ht="27.95" customHeight="1">
      <c r="A20" s="234" t="s">
        <v>167</v>
      </c>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F21"/>
      <c r="G21"/>
      <c r="H21"/>
      <c r="I21"/>
      <c r="J21"/>
    </row>
    <row r="22" spans="1:49" ht="13.9" customHeight="1">
      <c r="A22" s="206" t="s">
        <v>1366</v>
      </c>
      <c r="B22" s="69"/>
      <c r="C22" s="16"/>
      <c r="D22" s="16"/>
      <c r="F22" s="228" t="s">
        <v>3126</v>
      </c>
      <c r="G22" s="229"/>
      <c r="H22" s="230"/>
      <c r="I22" s="267" t="s">
        <v>8692</v>
      </c>
      <c r="J22" s="268"/>
      <c r="K22" s="268"/>
      <c r="L22" s="269"/>
      <c r="M22" s="17"/>
      <c r="N22" s="228" t="s">
        <v>3918</v>
      </c>
      <c r="O22" s="229"/>
      <c r="P22" s="230"/>
      <c r="Q22" s="267" t="s">
        <v>1374</v>
      </c>
      <c r="R22" s="268"/>
      <c r="S22" s="269"/>
      <c r="T22" s="17"/>
      <c r="U22" s="228" t="s">
        <v>276</v>
      </c>
      <c r="V22" s="229"/>
      <c r="W22" s="230"/>
      <c r="X22" s="267" t="s">
        <v>3110</v>
      </c>
      <c r="Y22" s="268"/>
      <c r="Z22" s="269"/>
      <c r="AA22" s="17"/>
      <c r="AB22" s="228" t="s">
        <v>112</v>
      </c>
      <c r="AC22" s="229"/>
      <c r="AD22" s="230"/>
      <c r="AE22" s="273">
        <v>63484625</v>
      </c>
      <c r="AF22" s="274"/>
      <c r="AG22" s="275"/>
    </row>
    <row r="23" spans="1:49" ht="14.25" customHeight="1">
      <c r="A23" s="207"/>
      <c r="F23" s="231"/>
      <c r="G23" s="232"/>
      <c r="H23" s="233"/>
      <c r="I23" s="270"/>
      <c r="J23" s="271"/>
      <c r="K23" s="271"/>
      <c r="L23" s="272"/>
      <c r="M23" s="17"/>
      <c r="N23" s="231"/>
      <c r="O23" s="232"/>
      <c r="P23" s="233"/>
      <c r="Q23" s="270"/>
      <c r="R23" s="271"/>
      <c r="S23" s="272"/>
      <c r="T23" s="17"/>
      <c r="U23" s="231"/>
      <c r="V23" s="232"/>
      <c r="W23" s="233"/>
      <c r="X23" s="270"/>
      <c r="Y23" s="271"/>
      <c r="Z23" s="272"/>
      <c r="AA23" s="17"/>
      <c r="AB23" s="231"/>
      <c r="AC23" s="232"/>
      <c r="AD23" s="233"/>
      <c r="AE23" s="276"/>
      <c r="AF23" s="277"/>
      <c r="AG23" s="278"/>
    </row>
    <row r="24" spans="1:49" ht="20.25" customHeight="1">
      <c r="A24" s="221"/>
    </row>
    <row r="25" spans="1:49" ht="14.25" hidden="1" customHeight="1">
      <c r="A25" s="221"/>
      <c r="F25" s="280"/>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hidden="1" customHeight="1">
      <c r="A26" s="208"/>
      <c r="F26"/>
      <c r="G26"/>
      <c r="H26"/>
      <c r="I26"/>
      <c r="J26"/>
    </row>
    <row r="27" spans="1:49" ht="14.25" hidden="1" customHeight="1">
      <c r="A27" s="208"/>
    </row>
    <row r="28" spans="1:49" ht="14.25" customHeight="1">
      <c r="A28" s="103"/>
      <c r="F28" s="228" t="s">
        <v>4086</v>
      </c>
      <c r="G28" s="229"/>
      <c r="H28" s="230"/>
      <c r="I28" s="279" t="s">
        <v>4087</v>
      </c>
      <c r="J28" s="279"/>
      <c r="K28" s="279"/>
      <c r="L28" s="222" t="str">
        <f>+IFERROR(VLOOKUP(I28,Cat_precios!B:M,12,FALSE),"")</f>
        <v>BOTA DE COMBATE MEDIA CAÑA EN CUERO SISTEMA VULCANIZADO E INYECCIÓN DIRECTA_según NTMD vigente</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customHeight="1">
      <c r="A29" s="103"/>
      <c r="F29" s="231"/>
      <c r="G29" s="232"/>
      <c r="H29" s="233"/>
      <c r="I29" s="279"/>
      <c r="J29" s="279"/>
      <c r="K29" s="279"/>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05" t="str">
        <f>+IF(Desplegable_prod!$A$1&lt;&gt;"",Desplegable_prod!$A$1,"")</f>
        <v>Combinaciones de color segun la entidad compradora</v>
      </c>
      <c r="H33" s="205"/>
      <c r="I33" s="205"/>
      <c r="J33" s="205" t="str">
        <f>+IF(Desplegable_prod!$B$1&lt;&gt;"",Desplegable_prod!$B$1,"")</f>
        <v>Tallas</v>
      </c>
      <c r="K33" s="205"/>
      <c r="L33" s="205"/>
      <c r="M33" s="205" t="str">
        <f>+IF(Desplegable_prod!$C$1&lt;&gt;"",Desplegable_prod!$C$1,"")</f>
        <v>Tipo de suela</v>
      </c>
      <c r="N33" s="205"/>
      <c r="O33" s="205"/>
      <c r="P33" s="205" t="str">
        <f>+IF(Desplegable_prod!$D$1&lt;&gt;"",Desplegable_prod!$D$1,"")</f>
        <v>Cordonera</v>
      </c>
      <c r="Q33" s="205"/>
      <c r="R33" s="205"/>
      <c r="S33" s="205" t="str">
        <f>+IF(Desplegable_prod!$E$1&lt;&gt;"",Desplegable_prod!$E$1,"")</f>
        <v xml:space="preserve">Material cordón </v>
      </c>
      <c r="T33" s="205"/>
      <c r="U33" s="205"/>
      <c r="V33" s="205" t="str">
        <f>+IF(Desplegable_prod!$F$1&lt;&gt;"",Desplegable_prod!$F$1,"")</f>
        <v xml:space="preserve">Color del cordón </v>
      </c>
      <c r="W33" s="205"/>
      <c r="X33" s="205"/>
      <c r="Y33" s="205" t="str">
        <f>+IF(Desplegable_prod!$G$1&lt;&gt;"",Desplegable_prod!$G$1,"")</f>
        <v>Color de ojetes, ganchos de extracción rápida</v>
      </c>
      <c r="Z33" s="205"/>
      <c r="AA33" s="205"/>
      <c r="AB33" s="203" t="s">
        <v>159</v>
      </c>
      <c r="AC33" s="204"/>
      <c r="AD33" s="204"/>
    </row>
    <row r="34" spans="1:36" ht="45" customHeight="1">
      <c r="A34" s="103"/>
      <c r="F34" s="75">
        <f>IFERROR(IF(F33="Ítem",1,ROW()-ROW(SolCotizacion!$F$28)-5),"error")</f>
        <v>1</v>
      </c>
      <c r="G34" s="191" t="s">
        <v>8693</v>
      </c>
      <c r="H34" s="191"/>
      <c r="I34" s="191"/>
      <c r="J34" s="191">
        <v>39</v>
      </c>
      <c r="K34" s="191"/>
      <c r="L34" s="191"/>
      <c r="M34" s="191" t="s">
        <v>8695</v>
      </c>
      <c r="N34" s="191"/>
      <c r="O34" s="191"/>
      <c r="P34" s="191" t="s">
        <v>8698</v>
      </c>
      <c r="Q34" s="191"/>
      <c r="R34" s="191"/>
      <c r="S34" s="191" t="s">
        <v>8699</v>
      </c>
      <c r="T34" s="191"/>
      <c r="U34" s="191"/>
      <c r="V34" s="191" t="s">
        <v>8693</v>
      </c>
      <c r="W34" s="191"/>
      <c r="X34" s="191"/>
      <c r="Y34" s="191" t="s">
        <v>8693</v>
      </c>
      <c r="Z34" s="191"/>
      <c r="AA34" s="191"/>
      <c r="AB34" s="192">
        <v>15</v>
      </c>
      <c r="AC34" s="192"/>
      <c r="AD34" s="192"/>
    </row>
    <row r="35" spans="1:36" ht="45" customHeight="1">
      <c r="A35" s="103"/>
      <c r="F35" s="75">
        <f>IFERROR(IF(F34="Ítem",1,ROW()-ROW(SolCotizacion!$F$28)-5),"error")</f>
        <v>2</v>
      </c>
      <c r="G35" s="191" t="s">
        <v>8693</v>
      </c>
      <c r="H35" s="191"/>
      <c r="I35" s="191"/>
      <c r="J35" s="191">
        <v>40</v>
      </c>
      <c r="K35" s="191"/>
      <c r="L35" s="191"/>
      <c r="M35" s="191" t="s">
        <v>8695</v>
      </c>
      <c r="N35" s="191"/>
      <c r="O35" s="191"/>
      <c r="P35" s="191" t="s">
        <v>8698</v>
      </c>
      <c r="Q35" s="191"/>
      <c r="R35" s="191"/>
      <c r="S35" s="191" t="s">
        <v>8699</v>
      </c>
      <c r="T35" s="191"/>
      <c r="U35" s="191"/>
      <c r="V35" s="191" t="s">
        <v>8693</v>
      </c>
      <c r="W35" s="191"/>
      <c r="X35" s="191"/>
      <c r="Y35" s="191" t="s">
        <v>8693</v>
      </c>
      <c r="Z35" s="191"/>
      <c r="AA35" s="191"/>
      <c r="AB35" s="192">
        <v>19</v>
      </c>
      <c r="AC35" s="192"/>
      <c r="AD35" s="192"/>
    </row>
    <row r="36" spans="1:36" ht="45" customHeight="1">
      <c r="A36" s="103"/>
      <c r="F36" s="75">
        <f>IFERROR(IF(F35="Ítem",1,ROW()-ROW(SolCotizacion!$F$28)-5),"error")</f>
        <v>3</v>
      </c>
      <c r="G36" s="191" t="s">
        <v>8693</v>
      </c>
      <c r="H36" s="191"/>
      <c r="I36" s="191"/>
      <c r="J36" s="191">
        <v>41</v>
      </c>
      <c r="K36" s="191"/>
      <c r="L36" s="191"/>
      <c r="M36" s="191" t="s">
        <v>8695</v>
      </c>
      <c r="N36" s="191"/>
      <c r="O36" s="191"/>
      <c r="P36" s="191" t="s">
        <v>8698</v>
      </c>
      <c r="Q36" s="191"/>
      <c r="R36" s="191"/>
      <c r="S36" s="191" t="s">
        <v>8699</v>
      </c>
      <c r="T36" s="191"/>
      <c r="U36" s="191"/>
      <c r="V36" s="191" t="s">
        <v>8693</v>
      </c>
      <c r="W36" s="191"/>
      <c r="X36" s="191"/>
      <c r="Y36" s="191" t="s">
        <v>8693</v>
      </c>
      <c r="Z36" s="191"/>
      <c r="AA36" s="191"/>
      <c r="AB36" s="192">
        <v>37</v>
      </c>
      <c r="AC36" s="192"/>
      <c r="AD36" s="192"/>
    </row>
    <row r="37" spans="1:36" ht="45" customHeight="1">
      <c r="A37" s="103"/>
      <c r="F37" s="75">
        <f>IFERROR(IF(F36="Ítem",1,ROW()-ROW(SolCotizacion!$F$28)-5),"error")</f>
        <v>4</v>
      </c>
      <c r="G37" s="191" t="s">
        <v>8693</v>
      </c>
      <c r="H37" s="191"/>
      <c r="I37" s="191"/>
      <c r="J37" s="191">
        <v>42</v>
      </c>
      <c r="K37" s="191"/>
      <c r="L37" s="191"/>
      <c r="M37" s="191" t="s">
        <v>8695</v>
      </c>
      <c r="N37" s="191"/>
      <c r="O37" s="191"/>
      <c r="P37" s="191" t="s">
        <v>8698</v>
      </c>
      <c r="Q37" s="191"/>
      <c r="R37" s="191"/>
      <c r="S37" s="191" t="s">
        <v>8699</v>
      </c>
      <c r="T37" s="191"/>
      <c r="U37" s="191"/>
      <c r="V37" s="191" t="s">
        <v>8693</v>
      </c>
      <c r="W37" s="191"/>
      <c r="X37" s="191"/>
      <c r="Y37" s="191" t="s">
        <v>8693</v>
      </c>
      <c r="Z37" s="191"/>
      <c r="AA37" s="191"/>
      <c r="AB37" s="192">
        <v>37</v>
      </c>
      <c r="AC37" s="192"/>
      <c r="AD37" s="192"/>
    </row>
    <row r="38" spans="1:36" ht="45" customHeight="1">
      <c r="A38" s="103"/>
      <c r="F38" s="75">
        <f>IFERROR(IF(F37="Ítem",1,ROW()-ROW(SolCotizacion!$F$28)-5),"error")</f>
        <v>5</v>
      </c>
      <c r="G38" s="191" t="s">
        <v>8693</v>
      </c>
      <c r="H38" s="191"/>
      <c r="I38" s="191"/>
      <c r="J38" s="191">
        <v>43</v>
      </c>
      <c r="K38" s="191"/>
      <c r="L38" s="191"/>
      <c r="M38" s="191" t="s">
        <v>8695</v>
      </c>
      <c r="N38" s="191"/>
      <c r="O38" s="191"/>
      <c r="P38" s="191" t="s">
        <v>8698</v>
      </c>
      <c r="Q38" s="191"/>
      <c r="R38" s="191"/>
      <c r="S38" s="191" t="s">
        <v>8699</v>
      </c>
      <c r="T38" s="191"/>
      <c r="U38" s="191"/>
      <c r="V38" s="191" t="s">
        <v>8693</v>
      </c>
      <c r="W38" s="191"/>
      <c r="X38" s="191"/>
      <c r="Y38" s="191" t="s">
        <v>8693</v>
      </c>
      <c r="Z38" s="191"/>
      <c r="AA38" s="191"/>
      <c r="AB38" s="192">
        <v>37</v>
      </c>
      <c r="AC38" s="192"/>
      <c r="AD38" s="192"/>
    </row>
    <row r="39" spans="1:36" ht="6.75" customHeight="1"/>
    <row r="40" spans="1:36" ht="14.25" customHeight="1">
      <c r="F40"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283"/>
      <c r="H40" s="283"/>
      <c r="I40" s="283"/>
      <c r="J40" s="283"/>
      <c r="K40" s="283"/>
      <c r="L40" s="283"/>
      <c r="M40" s="283"/>
      <c r="N40" s="283"/>
      <c r="O40" s="283"/>
      <c r="P40" s="283"/>
      <c r="Q40" s="283"/>
      <c r="R40" s="283"/>
      <c r="S40" s="283"/>
      <c r="T40" s="283"/>
      <c r="U40" s="283"/>
      <c r="V40" s="283"/>
      <c r="W40" s="283"/>
      <c r="X40" s="283"/>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50" t="s">
        <v>3906</v>
      </c>
      <c r="H42" s="250"/>
      <c r="I42" s="250"/>
      <c r="J42" s="250"/>
      <c r="K42" s="250"/>
      <c r="L42" s="250"/>
    </row>
    <row r="43" spans="1:36">
      <c r="G43" s="251">
        <v>1</v>
      </c>
      <c r="H43" s="252"/>
      <c r="I43" s="252"/>
      <c r="J43" s="252"/>
      <c r="K43" s="252"/>
      <c r="L43" s="253"/>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284" t="s">
        <v>4070</v>
      </c>
      <c r="G46" s="284"/>
      <c r="H46" s="284"/>
      <c r="I46" s="284"/>
      <c r="J46" s="284"/>
      <c r="K46" s="284"/>
      <c r="L46" s="284"/>
      <c r="M46" s="284"/>
      <c r="N46" s="284"/>
      <c r="O46" s="291" t="s">
        <v>1311</v>
      </c>
      <c r="P46" s="291"/>
      <c r="Q46" s="291"/>
      <c r="R46" s="291"/>
      <c r="S46" s="291"/>
      <c r="T46" s="291"/>
      <c r="U46" s="291"/>
      <c r="V46" s="291"/>
      <c r="W46" s="291"/>
      <c r="X46" s="291"/>
      <c r="Y46" s="291"/>
      <c r="Z46" s="291"/>
      <c r="AA46" s="291"/>
      <c r="AB46" s="291"/>
      <c r="AC46" s="291"/>
      <c r="AD46" s="291"/>
      <c r="AE46" s="291"/>
      <c r="AF46" s="291"/>
      <c r="AG46" s="291"/>
    </row>
    <row r="47" spans="1:36" ht="27.95" customHeight="1">
      <c r="F47" s="284" t="s">
        <v>3907</v>
      </c>
      <c r="G47" s="284"/>
      <c r="H47" s="284"/>
      <c r="I47" s="284"/>
      <c r="J47" s="284"/>
      <c r="K47" s="284"/>
      <c r="L47" s="284"/>
      <c r="M47" s="284"/>
      <c r="N47" s="284"/>
      <c r="O47" s="291" t="s">
        <v>8701</v>
      </c>
      <c r="P47" s="291"/>
      <c r="Q47" s="291"/>
      <c r="R47" s="291"/>
      <c r="S47" s="291"/>
      <c r="T47" s="291"/>
      <c r="U47" s="291"/>
      <c r="V47" s="291"/>
      <c r="W47" s="291"/>
      <c r="X47" s="291"/>
      <c r="Y47" s="291"/>
      <c r="Z47" s="291"/>
      <c r="AA47" s="291"/>
      <c r="AB47" s="291"/>
      <c r="AC47" s="291"/>
      <c r="AD47" s="291"/>
      <c r="AE47" s="291"/>
      <c r="AF47" s="291"/>
      <c r="AG47" s="291"/>
    </row>
    <row r="48" spans="1:36" ht="21" customHeight="1">
      <c r="F48" s="284" t="s">
        <v>3284</v>
      </c>
      <c r="G48" s="284"/>
      <c r="H48" s="284"/>
      <c r="I48" s="284"/>
      <c r="J48" s="284"/>
      <c r="K48" s="284"/>
      <c r="L48" s="284"/>
      <c r="M48" s="284"/>
      <c r="N48" s="284"/>
      <c r="O48" s="287" t="s">
        <v>8701</v>
      </c>
      <c r="P48" s="287"/>
      <c r="Q48" s="287"/>
      <c r="R48" s="287"/>
      <c r="S48" s="287"/>
      <c r="T48" s="287"/>
      <c r="U48" s="287"/>
      <c r="V48" s="287"/>
      <c r="W48" s="287"/>
      <c r="X48" s="287"/>
      <c r="Y48" s="287"/>
      <c r="Z48" s="287"/>
      <c r="AA48" s="287"/>
      <c r="AB48" s="287"/>
      <c r="AC48" s="287"/>
      <c r="AD48" s="287"/>
      <c r="AE48" s="287"/>
      <c r="AF48" s="287"/>
      <c r="AG48" s="287"/>
    </row>
    <row r="49" spans="1:33" ht="21" customHeight="1">
      <c r="F49" s="285" t="s">
        <v>3908</v>
      </c>
      <c r="G49" s="285"/>
      <c r="H49" s="285"/>
      <c r="I49" s="285"/>
      <c r="J49" s="285"/>
      <c r="K49" s="285"/>
      <c r="L49" s="285"/>
      <c r="M49" s="285"/>
      <c r="N49" s="286"/>
      <c r="O49" s="288" t="s">
        <v>8701</v>
      </c>
      <c r="P49" s="289"/>
      <c r="Q49" s="289"/>
      <c r="R49" s="289"/>
      <c r="S49" s="289"/>
      <c r="T49" s="289"/>
      <c r="U49" s="289"/>
      <c r="V49" s="289"/>
      <c r="W49" s="289"/>
      <c r="X49" s="289"/>
      <c r="Y49" s="289"/>
      <c r="Z49" s="289"/>
      <c r="AA49" s="289"/>
      <c r="AB49" s="289"/>
      <c r="AC49" s="289"/>
      <c r="AD49" s="289"/>
      <c r="AE49" s="289"/>
      <c r="AF49" s="289"/>
      <c r="AG49" s="290"/>
    </row>
    <row r="50" spans="1:33" ht="14.25" hidden="1" customHeight="1">
      <c r="A50"/>
      <c r="B50"/>
      <c r="F50"/>
      <c r="G50"/>
      <c r="H50"/>
      <c r="I50"/>
      <c r="J50"/>
    </row>
    <row r="51" spans="1:33" ht="30.75" customHeight="1">
      <c r="F51" s="197" t="s">
        <v>4071</v>
      </c>
      <c r="G51" s="197"/>
      <c r="H51" s="197"/>
      <c r="I51" s="197"/>
      <c r="J51" s="197"/>
      <c r="K51" s="197"/>
      <c r="L51" s="197"/>
      <c r="M51" s="197"/>
      <c r="N51" s="197"/>
      <c r="O51" s="198"/>
      <c r="P51" s="197"/>
      <c r="Q51" s="197"/>
      <c r="R51" s="197"/>
      <c r="S51" s="197"/>
      <c r="T51" s="197"/>
      <c r="U51" s="197"/>
      <c r="V51" s="197"/>
      <c r="W51" s="197"/>
      <c r="X51" s="197"/>
      <c r="Y51" s="197"/>
      <c r="Z51" s="197"/>
      <c r="AA51" s="197"/>
      <c r="AB51" s="197"/>
      <c r="AC51" s="197"/>
      <c r="AD51" s="197"/>
      <c r="AE51" s="197"/>
      <c r="AF51" s="197"/>
      <c r="AG51" s="197"/>
    </row>
    <row r="52" spans="1:33">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44" t="s">
        <v>3119</v>
      </c>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row>
    <row r="55" spans="1:33">
      <c r="F55"/>
      <c r="G55"/>
      <c r="H55"/>
      <c r="I55"/>
      <c r="J55"/>
    </row>
    <row r="56" spans="1:33" ht="24" customHeight="1">
      <c r="B56" s="32" t="s">
        <v>3904</v>
      </c>
      <c r="F56" s="245" t="s">
        <v>3120</v>
      </c>
      <c r="G56" s="246"/>
      <c r="H56" s="247" t="s">
        <v>3121</v>
      </c>
      <c r="I56" s="248"/>
      <c r="J56" s="248"/>
      <c r="K56" s="199" t="s">
        <v>1</v>
      </c>
      <c r="L56" s="200"/>
      <c r="M56" s="200"/>
      <c r="N56" s="200"/>
      <c r="O56" s="201"/>
      <c r="P56" s="199" t="s">
        <v>3123</v>
      </c>
      <c r="Q56" s="200"/>
      <c r="R56" s="200"/>
      <c r="S56" s="200"/>
      <c r="T56" s="200"/>
      <c r="U56" s="201"/>
      <c r="V56" s="199" t="s">
        <v>3122</v>
      </c>
      <c r="W56" s="200"/>
      <c r="X56" s="200"/>
      <c r="Y56" s="200"/>
      <c r="Z56" s="200"/>
      <c r="AA56" s="200"/>
      <c r="AB56" s="200"/>
      <c r="AC56" s="200"/>
      <c r="AD56" s="200"/>
      <c r="AE56" s="201"/>
      <c r="AF56" s="199" t="s">
        <v>159</v>
      </c>
      <c r="AG56" s="200"/>
    </row>
    <row r="57" spans="1:33">
      <c r="F57" s="193">
        <f>+IF(F56="No. de entrega",1,F56+1)</f>
        <v>1</v>
      </c>
      <c r="G57" s="194"/>
      <c r="H57" s="195">
        <v>46219</v>
      </c>
      <c r="I57" s="195"/>
      <c r="J57" s="195"/>
      <c r="K57" s="196" t="s">
        <v>1778</v>
      </c>
      <c r="L57" s="196"/>
      <c r="M57" s="196"/>
      <c r="N57" s="196"/>
      <c r="O57" s="196"/>
      <c r="P57" s="196" t="s">
        <v>1260</v>
      </c>
      <c r="Q57" s="196"/>
      <c r="R57" s="196"/>
      <c r="S57" s="196"/>
      <c r="T57" s="196"/>
      <c r="U57" s="196"/>
      <c r="V57" s="196" t="s">
        <v>8702</v>
      </c>
      <c r="W57" s="196"/>
      <c r="X57" s="196"/>
      <c r="Y57" s="196"/>
      <c r="Z57" s="196"/>
      <c r="AA57" s="196"/>
      <c r="AB57" s="196"/>
      <c r="AC57" s="196"/>
      <c r="AD57" s="196"/>
      <c r="AE57" s="196"/>
      <c r="AF57" s="202">
        <v>30</v>
      </c>
      <c r="AG57" s="202"/>
    </row>
    <row r="58" spans="1:33">
      <c r="F58" s="193">
        <f>+IF(F57="No. de entrega",1,F57+1)</f>
        <v>2</v>
      </c>
      <c r="G58" s="194"/>
      <c r="H58" s="195">
        <v>46219</v>
      </c>
      <c r="I58" s="195"/>
      <c r="J58" s="195"/>
      <c r="K58" s="196" t="s">
        <v>1778</v>
      </c>
      <c r="L58" s="196"/>
      <c r="M58" s="196"/>
      <c r="N58" s="196"/>
      <c r="O58" s="196"/>
      <c r="P58" s="196" t="s">
        <v>1260</v>
      </c>
      <c r="Q58" s="196"/>
      <c r="R58" s="196"/>
      <c r="S58" s="196"/>
      <c r="T58" s="196"/>
      <c r="U58" s="196"/>
      <c r="V58" s="196" t="s">
        <v>8703</v>
      </c>
      <c r="W58" s="196"/>
      <c r="X58" s="196"/>
      <c r="Y58" s="196"/>
      <c r="Z58" s="196"/>
      <c r="AA58" s="196"/>
      <c r="AB58" s="196"/>
      <c r="AC58" s="196"/>
      <c r="AD58" s="196"/>
      <c r="AE58" s="196"/>
      <c r="AF58" s="202">
        <v>115</v>
      </c>
      <c r="AG58" s="202"/>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50" t="s">
        <v>3905</v>
      </c>
      <c r="H62" s="250"/>
      <c r="I62" s="250"/>
      <c r="J62" s="250"/>
      <c r="K62" s="250"/>
      <c r="L62" s="250"/>
    </row>
    <row r="63" spans="1:33">
      <c r="G63" s="251">
        <v>1</v>
      </c>
      <c r="H63" s="252"/>
      <c r="I63" s="252"/>
      <c r="J63" s="252"/>
      <c r="K63" s="252"/>
      <c r="L63" s="253"/>
    </row>
    <row r="64" spans="1:33">
      <c r="G64"/>
      <c r="H64"/>
      <c r="I64"/>
      <c r="J64"/>
    </row>
    <row r="65" spans="2:33">
      <c r="G65"/>
      <c r="H65"/>
      <c r="I65"/>
      <c r="J65"/>
    </row>
    <row r="66" spans="2:33" ht="27.95" customHeight="1">
      <c r="F66" s="244" t="s">
        <v>125</v>
      </c>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row>
    <row r="67" spans="2:33">
      <c r="F67" s="21"/>
      <c r="G67" s="21"/>
      <c r="H67" s="21"/>
      <c r="I67" s="21"/>
      <c r="J67" s="21"/>
      <c r="K67" s="21"/>
      <c r="L67" s="21"/>
      <c r="M67" s="21"/>
      <c r="N67" s="22"/>
      <c r="O67" s="22"/>
      <c r="P67" s="22"/>
      <c r="Q67" s="22"/>
    </row>
    <row r="68" spans="2:33">
      <c r="B68" s="32" t="s">
        <v>124</v>
      </c>
      <c r="F68" s="59" t="s">
        <v>126</v>
      </c>
      <c r="G68" s="256" t="s">
        <v>1373</v>
      </c>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05" t="s">
        <v>127</v>
      </c>
      <c r="AF68" s="205"/>
      <c r="AG68" s="205"/>
    </row>
    <row r="69" spans="2:33">
      <c r="F69" s="24">
        <f>+IF(F68="No",1,F68+1)</f>
        <v>1</v>
      </c>
      <c r="G69" s="257" t="s">
        <v>8704</v>
      </c>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9">
        <v>5.0000000000000001E-3</v>
      </c>
      <c r="AF69" s="259"/>
      <c r="AG69" s="259"/>
    </row>
    <row r="70" spans="2:33">
      <c r="F70" s="24">
        <f>+IF(F69="No",1,F69+1)</f>
        <v>2</v>
      </c>
      <c r="G70" s="257" t="s">
        <v>8705</v>
      </c>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9">
        <v>5.0000000000000001E-3</v>
      </c>
      <c r="AF70" s="259"/>
      <c r="AG70" s="259"/>
    </row>
    <row r="71" spans="2:33">
      <c r="G71" s="258" t="s">
        <v>128</v>
      </c>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4">
        <f ca="1">SUM(AE69:OFFSET(W71,-1,-1))</f>
        <v>0.01</v>
      </c>
      <c r="AF71" s="254"/>
      <c r="AG71" s="254"/>
    </row>
    <row r="72" spans="2:33">
      <c r="G72" s="255" t="s">
        <v>129</v>
      </c>
      <c r="H72" s="255"/>
      <c r="I72" s="255"/>
      <c r="J72" s="255"/>
      <c r="K72" s="255"/>
      <c r="L72" s="255"/>
      <c r="M72" s="21"/>
    </row>
    <row r="73" spans="2:33">
      <c r="G73" s="249">
        <v>1</v>
      </c>
      <c r="H73" s="249"/>
      <c r="I73" s="249"/>
      <c r="J73" s="249"/>
      <c r="K73" s="249"/>
      <c r="L73" s="249"/>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F40:X40"/>
    <mergeCell ref="F46:N46"/>
    <mergeCell ref="F47:N47"/>
    <mergeCell ref="F48:N48"/>
    <mergeCell ref="F49:N49"/>
    <mergeCell ref="O48:AG48"/>
    <mergeCell ref="O49:AG49"/>
    <mergeCell ref="O46:AG46"/>
    <mergeCell ref="O47:AG47"/>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F54:AG54"/>
    <mergeCell ref="F56:G56"/>
    <mergeCell ref="H56:J56"/>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fxgb2VxV5nsRJ0xo8xX8KTGhxza+Pl6QIuY7ryAbIsI8EME+lil7KVEjDL2RO/IL+GcpjBtw7agzOD/hfZjZIw==" saltValue="mYS4g5+pqQLv7rrrtxHpQ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ZDHCJx17q320Y8vkoA/KCJuuctPxTO91+2GaS+qOnUxNgBglQCk+la0JJF7TNk18bWb4Okf4Ym/N+IUOOdOhpg==" saltValue="dVaElw9DdOY4tU0eLJadEA=="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DU9/SGenyIX63LKrnGXc5evn9nBiqBokY7s65Exljp83dFbASDm986d8n29OQOCBEHzz4iASMyhSYC0FSZW43w==" saltValue="kIkLoRG5sT2Ghlhgk5cFVQ=="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h8sHsM/TFhsWN8G1NvbNr6ojM8HsxNbLKl9FE/WbKxEaEVuQs/Qxwz6V4roO1cMqpN23FCVVwlyfNuQGMINAYA==" saltValue="C87jvop/PeebfIkBewiaSQ=="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nJKTIXY7inBbsSLLkyRLFl8de36ePucGPHDOpbASNb6UB7evZ913rlIKO2s/O2Tq8RrzI4ZVtGSwO19JNT/iOQ==" saltValue="QTZfd4O/Hu67U958w5Xr3w=="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bEWTQLsD6ydTBH1rPzPf9luGnpcla0Zo2UtthLuyrbJ+tcP4YWMvNrBu+NWBNXX3U/ckNxeeT4+UlYilHPt9/Q==" saltValue="9Q/fCbbJfT6natqirrU5Yg=="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CeIACeyu17tFpiQc23MPqHrUFcEMXLyFXguWRrLOnlMim5D54wkRNgztMQDW1sXeWFeJzPR5aSpmHwb7gdwGgg==" saltValue="waVExHpM7TFyP8L3RxhaJw=="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zR1VaAmELDgJcnMcMjmktP64zk8+vWvPJDWBrbvPU7My2Vqwx0/ai8D/Z6ozHGVugt/dxPpvMiRm+Sc7g3pukQ==" saltValue="fLiobVFkNcw7bToYP2WSdw=="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tN1YieE56BNf87lbsdG4TEZ3zH22mrPs/4rffeyTBLTjyqGANEKcwvyyzo8ZNjGhOxNHNEaR1NE3sfWnboN0YQ==" saltValue="ilk+VgFhMIyCJAVYdYw1Fg=="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EFCCWkqV6QLv75cYfsq8UQI4n7rX7VJZexAHl39gdMfbp4QMh6aA7TWMTXr1GF8SXsHHIJn+2CRpGXl6dTLW0Q==" saltValue="M0VBSXXpcj29VCvrD5R+a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KCuaKNVZptC3PY7X2Vo6vRE6iVTfYqq8L9FT8AiHFdkNvWnrELIIQ3ad19JWvOCaX8AnehEHzY8HWlpJjXeLWw==" saltValue="/59S2iQg7adJPgdXWmZrfQ=="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lF5KQgR3GUU7GdCCBJVjLcWyWuPo1gQTUN1HtKRfpu0qm01EuCQKcSfjoVPKRCoqfNAlunujBHs12eXvJeg/fA==" saltValue="C7Lpy5GXAzUZNZTX9JXaMw=="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THyfQBwtNtHNJ/3Jhp/BCpNTVFqBuf1vACNuneNHbI1QBUT7XwkSDdUZ+409diUnZ12lsgxeGJHwIkSBRTCSMA==" saltValue="z4IhbDiPcDDeKBuFsm46JQ=="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UQwiarEZcBuvAEC3XeR4BFvmuxMsv520d40xrSHwkbHTPVU0GNLYzzPY1iw3fiEKtH1Tlw/k+zGiLmCHN6pKyQ==" saltValue="L+CBYcRFGyrCwNvSGi2Ibg=="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7W5MhOH0m00iLe9oFJ8o0CB8HCs634FiVG5BVdPXhREeFgu8zxlo7pEPVA8R+lQ4atDRNaw7jLj5QU/hPdgv5A==" saltValue="TWg1EsPLp7Jl3z/2HCKzV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60" t="s">
        <v>1388</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4.25" hidden="1" customHeight="1">
      <c r="A5" s="209"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0"/>
    </row>
    <row r="7" spans="1:33" ht="14.25" hidden="1" customHeight="1">
      <c r="A7" s="211"/>
    </row>
    <row r="8" spans="1:33" ht="14.25" hidden="1" customHeight="1">
      <c r="A8" s="212" t="s">
        <v>162</v>
      </c>
    </row>
    <row r="9" spans="1:33" ht="14.25" hidden="1" customHeight="1">
      <c r="A9" s="213"/>
    </row>
    <row r="10" spans="1:33" ht="27.95" customHeight="1">
      <c r="A10" s="219" t="s">
        <v>163</v>
      </c>
      <c r="B10" s="32"/>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4.5" customHeight="1">
      <c r="A11" s="219"/>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0" t="s">
        <v>259</v>
      </c>
      <c r="B12" s="32"/>
      <c r="F12" s="214" t="s">
        <v>106</v>
      </c>
      <c r="G12" s="215"/>
      <c r="H12" s="215"/>
      <c r="I12" s="215"/>
      <c r="J12" s="216"/>
      <c r="K12" s="341" t="s">
        <v>8688</v>
      </c>
      <c r="L12" s="342"/>
      <c r="M12" s="342"/>
      <c r="N12" s="342"/>
      <c r="O12" s="342"/>
      <c r="P12" s="342"/>
      <c r="Q12" s="342"/>
      <c r="R12" s="342"/>
      <c r="S12" s="342"/>
      <c r="T12" s="235" t="s">
        <v>107</v>
      </c>
      <c r="U12" s="236"/>
      <c r="V12" s="236"/>
      <c r="W12" s="236"/>
      <c r="X12" s="236"/>
      <c r="Y12" s="344">
        <v>800130690</v>
      </c>
      <c r="Z12" s="344"/>
      <c r="AA12" s="344"/>
      <c r="AB12" s="344"/>
      <c r="AC12" s="344"/>
      <c r="AD12" s="344"/>
      <c r="AE12" s="344"/>
      <c r="AF12" s="344"/>
      <c r="AG12" s="344"/>
    </row>
    <row r="13" spans="1:33" ht="3.75" customHeight="1">
      <c r="A13" s="220"/>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06" t="s">
        <v>164</v>
      </c>
      <c r="B14" s="32"/>
      <c r="F14" s="214" t="s">
        <v>108</v>
      </c>
      <c r="G14" s="215"/>
      <c r="H14" s="215"/>
      <c r="I14" s="215"/>
      <c r="J14" s="216"/>
      <c r="K14" s="341" t="s">
        <v>8689</v>
      </c>
      <c r="L14" s="342"/>
      <c r="M14" s="342"/>
      <c r="N14" s="342"/>
      <c r="O14" s="342"/>
      <c r="P14" s="342"/>
      <c r="Q14" s="342"/>
      <c r="R14" s="342"/>
      <c r="S14" s="342"/>
      <c r="T14" s="214" t="s">
        <v>156</v>
      </c>
      <c r="U14" s="215"/>
      <c r="V14" s="215"/>
      <c r="W14" s="215"/>
      <c r="X14" s="215"/>
      <c r="Y14" s="343" t="s">
        <v>2866</v>
      </c>
      <c r="Z14" s="343"/>
      <c r="AA14" s="343"/>
      <c r="AB14" s="343"/>
      <c r="AC14" s="343"/>
      <c r="AD14" s="343"/>
      <c r="AE14" s="343"/>
      <c r="AF14" s="343"/>
      <c r="AG14" s="343"/>
    </row>
    <row r="15" spans="1:33" ht="2.25" customHeight="1">
      <c r="A15" s="20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4" t="s">
        <v>165</v>
      </c>
      <c r="B16" s="32"/>
      <c r="F16" s="235" t="s">
        <v>110</v>
      </c>
      <c r="G16" s="236"/>
      <c r="H16" s="236"/>
      <c r="I16" s="236"/>
      <c r="J16" s="236"/>
      <c r="K16" s="341" t="s">
        <v>8690</v>
      </c>
      <c r="L16" s="342"/>
      <c r="M16" s="342"/>
      <c r="N16" s="342"/>
      <c r="O16" s="342"/>
      <c r="P16" s="342"/>
      <c r="Q16" s="342"/>
      <c r="R16" s="342"/>
      <c r="S16" s="342"/>
      <c r="T16" s="242" t="s">
        <v>109</v>
      </c>
      <c r="U16" s="243"/>
      <c r="V16" s="243"/>
      <c r="W16" s="243"/>
      <c r="X16" s="243"/>
      <c r="Y16" s="344">
        <v>3234801420</v>
      </c>
      <c r="Z16" s="344"/>
      <c r="AA16" s="344"/>
      <c r="AB16" s="344"/>
      <c r="AC16" s="344"/>
      <c r="AD16" s="344"/>
      <c r="AE16" s="344"/>
      <c r="AF16" s="344"/>
      <c r="AG16" s="344"/>
    </row>
    <row r="17" spans="1:49" ht="3" customHeight="1">
      <c r="A17" s="21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06"/>
      <c r="B19" s="32"/>
      <c r="F19" s="11"/>
      <c r="G19" s="11"/>
      <c r="H19" s="11"/>
      <c r="I19" s="11"/>
      <c r="J19" s="11"/>
    </row>
    <row r="20" spans="1:49" ht="27.95" customHeight="1">
      <c r="A20" s="234" t="s">
        <v>167</v>
      </c>
      <c r="B20" s="32"/>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B21" s="32"/>
    </row>
    <row r="22" spans="1:49" ht="13.9" customHeight="1">
      <c r="A22" s="206" t="s">
        <v>1366</v>
      </c>
      <c r="B22" s="69"/>
      <c r="C22" s="16"/>
      <c r="D22" s="16"/>
      <c r="F22" s="228" t="s">
        <v>3126</v>
      </c>
      <c r="G22" s="229"/>
      <c r="H22" s="230"/>
      <c r="I22" s="329" t="s">
        <v>8692</v>
      </c>
      <c r="J22" s="330"/>
      <c r="K22" s="330"/>
      <c r="L22" s="331"/>
      <c r="M22" s="17"/>
      <c r="N22" s="228" t="s">
        <v>3918</v>
      </c>
      <c r="O22" s="229"/>
      <c r="P22" s="230"/>
      <c r="Q22" s="329" t="s">
        <v>1374</v>
      </c>
      <c r="R22" s="330"/>
      <c r="S22" s="331"/>
      <c r="T22" s="17"/>
      <c r="U22" s="228" t="s">
        <v>276</v>
      </c>
      <c r="V22" s="229"/>
      <c r="W22" s="230"/>
      <c r="X22" s="329" t="s">
        <v>8708</v>
      </c>
      <c r="Y22" s="330"/>
      <c r="Z22" s="331"/>
      <c r="AA22" s="17"/>
      <c r="AB22" s="228" t="s">
        <v>112</v>
      </c>
      <c r="AC22" s="229"/>
      <c r="AD22" s="230"/>
      <c r="AE22" s="335">
        <v>63484625</v>
      </c>
      <c r="AF22" s="336"/>
      <c r="AG22" s="337"/>
    </row>
    <row r="23" spans="1:49" ht="14.25" customHeight="1">
      <c r="A23" s="207"/>
      <c r="B23" s="32"/>
      <c r="F23" s="231"/>
      <c r="G23" s="232"/>
      <c r="H23" s="233"/>
      <c r="I23" s="332"/>
      <c r="J23" s="333"/>
      <c r="K23" s="333"/>
      <c r="L23" s="334"/>
      <c r="M23" s="17"/>
      <c r="N23" s="231"/>
      <c r="O23" s="232"/>
      <c r="P23" s="233"/>
      <c r="Q23" s="332"/>
      <c r="R23" s="333"/>
      <c r="S23" s="334"/>
      <c r="T23" s="17"/>
      <c r="U23" s="231"/>
      <c r="V23" s="232"/>
      <c r="W23" s="233"/>
      <c r="X23" s="332"/>
      <c r="Y23" s="333"/>
      <c r="Z23" s="334"/>
      <c r="AA23" s="17"/>
      <c r="AB23" s="231"/>
      <c r="AC23" s="232"/>
      <c r="AD23" s="233"/>
      <c r="AE23" s="338"/>
      <c r="AF23" s="339"/>
      <c r="AG23" s="340"/>
    </row>
    <row r="24" spans="1:49" ht="15" customHeight="1">
      <c r="A24" s="221"/>
      <c r="B24" s="32"/>
      <c r="F24" s="11"/>
      <c r="G24" s="11"/>
      <c r="H24" s="11"/>
      <c r="I24" s="11"/>
      <c r="J24" s="11"/>
    </row>
    <row r="25" spans="1:49" ht="45" customHeight="1">
      <c r="A25" s="221"/>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thickBot="1">
      <c r="A26" s="208"/>
      <c r="B26" s="32"/>
    </row>
    <row r="27" spans="1:49" ht="14.25" hidden="1" customHeight="1">
      <c r="A27" s="208"/>
      <c r="B27" s="32"/>
      <c r="F27" s="11"/>
      <c r="G27" s="11"/>
      <c r="H27" s="11"/>
      <c r="I27" s="11"/>
      <c r="J27" s="11"/>
    </row>
    <row r="28" spans="1:49" ht="14.25" hidden="1" customHeight="1">
      <c r="A28" s="103"/>
      <c r="B28" s="32"/>
      <c r="F28" s="228" t="s">
        <v>4086</v>
      </c>
      <c r="G28" s="229"/>
      <c r="H28" s="230"/>
      <c r="I28" s="317" t="s">
        <v>4087</v>
      </c>
      <c r="J28" s="317"/>
      <c r="K28" s="317"/>
      <c r="L28" s="222" t="s">
        <v>4226</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hidden="1" customHeight="1">
      <c r="A29" s="103"/>
      <c r="B29" s="32"/>
      <c r="F29" s="231"/>
      <c r="G29" s="232"/>
      <c r="H29" s="233"/>
      <c r="I29" s="317"/>
      <c r="J29" s="317"/>
      <c r="K29" s="317"/>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19" t="s">
        <v>3489</v>
      </c>
      <c r="Y33" s="319"/>
      <c r="Z33" s="320"/>
      <c r="AA33" s="318" t="s">
        <v>3490</v>
      </c>
      <c r="AB33" s="318"/>
      <c r="AC33" s="318"/>
      <c r="AD33" s="318" t="s">
        <v>1352</v>
      </c>
      <c r="AE33" s="318"/>
      <c r="AF33" s="318"/>
      <c r="AG33" s="318"/>
    </row>
    <row r="34" spans="1:36" ht="45" customHeight="1">
      <c r="A34" s="103"/>
      <c r="B34" s="32"/>
      <c r="F34" s="155">
        <f>IFERROR(IF(F33="Ítem",1,ROW()-ROW(SolCotizacion!#REF!)),ROW()-ROW(SolCotizacion!#REF!))</f>
        <v>1</v>
      </c>
      <c r="G34" s="316" t="str">
        <f>+SolCotizacion!$I$28</f>
        <v>min03-P1</v>
      </c>
      <c r="H34" s="316"/>
      <c r="I34" s="316"/>
      <c r="J34" s="321" t="str">
        <f>+SolCotizacion!$L$28</f>
        <v>BOTA DE COMBATE MEDIA CAÑA EN CUERO SISTEMA VULCANIZADO E INYECCIÓN DIRECTA_según NTMD vigente</v>
      </c>
      <c r="K34" s="321"/>
      <c r="L34" s="321"/>
      <c r="M34" s="321"/>
      <c r="N34" s="321"/>
      <c r="O34" s="321"/>
      <c r="P34" s="321"/>
      <c r="Q34" s="321"/>
      <c r="R34" s="321"/>
      <c r="S34" s="321"/>
      <c r="T34" s="321"/>
      <c r="U34" s="322">
        <v>145</v>
      </c>
      <c r="V34" s="322"/>
      <c r="W34" s="322"/>
      <c r="X34" s="314">
        <f>+IFERROR(ROUND(VLOOKUP(F34&amp;"_"&amp;G34,Cat_resumido!$C:$DE,Var!$F$2-2,FALSE)/U34,2),"")</f>
        <v>404055</v>
      </c>
      <c r="Y34" s="314"/>
      <c r="Z34" s="314"/>
      <c r="AA34" s="314">
        <f ca="1">+IFERROR(ROUND(X34/(1-Var!$F$3),0),"")</f>
        <v>408136</v>
      </c>
      <c r="AB34" s="314"/>
      <c r="AC34" s="314"/>
      <c r="AD34" s="323">
        <f ca="1">IFERROR(ROUND(U34*AA34,2),"")</f>
        <v>59179720</v>
      </c>
      <c r="AE34" s="324"/>
      <c r="AF34" s="324"/>
      <c r="AG34" s="325"/>
    </row>
    <row r="35" spans="1:36" ht="30" customHeight="1">
      <c r="A35" s="61"/>
      <c r="B35" s="32"/>
      <c r="F35" s="11"/>
      <c r="G35" s="11"/>
      <c r="H35" s="11"/>
      <c r="I35" s="11"/>
      <c r="J35" s="11"/>
      <c r="AA35" s="205" t="s">
        <v>1323</v>
      </c>
      <c r="AB35" s="205"/>
      <c r="AC35" s="205"/>
      <c r="AD35" s="314">
        <f ca="1">+SUM(OFFSET(AA$1,0,3,MATCH("Subtotal",AA:AA,0)-1))</f>
        <v>59179720</v>
      </c>
      <c r="AE35" s="314"/>
      <c r="AF35" s="314"/>
      <c r="AG35" s="314"/>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05" t="s">
        <v>1324</v>
      </c>
      <c r="AB36" s="205"/>
      <c r="AC36" s="205"/>
      <c r="AD36" s="315">
        <f ca="1">+ROUND(AD35*0.19,2)</f>
        <v>11244146.800000001</v>
      </c>
      <c r="AE36" s="315"/>
      <c r="AF36" s="315"/>
      <c r="AG36" s="315"/>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05" t="s">
        <v>1325</v>
      </c>
      <c r="AB37" s="205"/>
      <c r="AC37" s="205"/>
      <c r="AD37" s="314">
        <f ca="1">+AD36+AD35</f>
        <v>70423866.799999997</v>
      </c>
      <c r="AE37" s="314"/>
      <c r="AF37" s="314"/>
      <c r="AG37" s="314"/>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06"/>
      <c r="H40" s="306"/>
      <c r="I40" s="306"/>
      <c r="J40" s="306"/>
      <c r="K40" s="306"/>
      <c r="L40" s="306"/>
      <c r="M40" s="306"/>
      <c r="N40" s="306"/>
      <c r="O40" s="313" t="s">
        <v>1311</v>
      </c>
      <c r="P40" s="313"/>
      <c r="Q40" s="313"/>
      <c r="R40" s="313"/>
      <c r="S40" s="313"/>
      <c r="T40" s="313"/>
      <c r="U40" s="313"/>
      <c r="V40" s="313"/>
      <c r="W40" s="313"/>
      <c r="X40" s="313"/>
      <c r="Y40" s="313"/>
      <c r="Z40" s="313"/>
      <c r="AA40" s="313"/>
      <c r="AB40" s="313"/>
      <c r="AC40" s="313"/>
      <c r="AD40" s="313"/>
      <c r="AE40" s="313"/>
      <c r="AF40" s="313"/>
      <c r="AG40" s="313"/>
      <c r="AH40" s="171"/>
    </row>
    <row r="41" spans="1:36" ht="27.95" customHeight="1">
      <c r="A41" s="61"/>
      <c r="B41" s="32"/>
      <c r="F41" s="284" t="s">
        <v>3907</v>
      </c>
      <c r="G41" s="306"/>
      <c r="H41" s="306"/>
      <c r="I41" s="306"/>
      <c r="J41" s="306"/>
      <c r="K41" s="306"/>
      <c r="L41" s="306"/>
      <c r="M41" s="306"/>
      <c r="N41" s="306"/>
      <c r="O41" s="313" t="s">
        <v>8701</v>
      </c>
      <c r="P41" s="313"/>
      <c r="Q41" s="313"/>
      <c r="R41" s="313"/>
      <c r="S41" s="313"/>
      <c r="T41" s="313"/>
      <c r="U41" s="313"/>
      <c r="V41" s="313"/>
      <c r="W41" s="313"/>
      <c r="X41" s="313"/>
      <c r="Y41" s="313"/>
      <c r="Z41" s="313"/>
      <c r="AA41" s="313"/>
      <c r="AB41" s="313"/>
      <c r="AC41" s="313"/>
      <c r="AD41" s="313"/>
      <c r="AE41" s="313"/>
      <c r="AF41" s="313"/>
      <c r="AG41" s="313"/>
      <c r="AH41" s="171"/>
    </row>
    <row r="42" spans="1:36" ht="21" customHeight="1">
      <c r="A42" s="61"/>
      <c r="B42" s="32"/>
      <c r="F42" s="284" t="s">
        <v>3284</v>
      </c>
      <c r="G42" s="306"/>
      <c r="H42" s="306"/>
      <c r="I42" s="306"/>
      <c r="J42" s="306"/>
      <c r="K42" s="306"/>
      <c r="L42" s="306"/>
      <c r="M42" s="306"/>
      <c r="N42" s="306"/>
      <c r="O42" s="307" t="s">
        <v>8701</v>
      </c>
      <c r="P42" s="307"/>
      <c r="Q42" s="307"/>
      <c r="R42" s="307"/>
      <c r="S42" s="307"/>
      <c r="T42" s="307"/>
      <c r="U42" s="307"/>
      <c r="V42" s="307"/>
      <c r="W42" s="307"/>
      <c r="X42" s="307"/>
      <c r="Y42" s="307"/>
      <c r="Z42" s="307"/>
      <c r="AA42" s="307"/>
      <c r="AB42" s="307"/>
      <c r="AC42" s="307"/>
      <c r="AD42" s="307"/>
      <c r="AE42" s="307"/>
      <c r="AF42" s="307"/>
      <c r="AG42" s="307"/>
      <c r="AH42" s="171"/>
    </row>
    <row r="43" spans="1:36" ht="21" customHeight="1">
      <c r="A43" s="61"/>
      <c r="B43" s="32"/>
      <c r="F43" s="285" t="s">
        <v>3908</v>
      </c>
      <c r="G43" s="308"/>
      <c r="H43" s="308"/>
      <c r="I43" s="308"/>
      <c r="J43" s="308"/>
      <c r="K43" s="308"/>
      <c r="L43" s="308"/>
      <c r="M43" s="308"/>
      <c r="N43" s="309"/>
      <c r="O43" s="310" t="s">
        <v>8701</v>
      </c>
      <c r="P43" s="311"/>
      <c r="Q43" s="311"/>
      <c r="R43" s="311"/>
      <c r="S43" s="311"/>
      <c r="T43" s="311"/>
      <c r="U43" s="311"/>
      <c r="V43" s="311"/>
      <c r="W43" s="311"/>
      <c r="X43" s="311"/>
      <c r="Y43" s="311"/>
      <c r="Z43" s="311"/>
      <c r="AA43" s="311"/>
      <c r="AB43" s="311"/>
      <c r="AC43" s="311"/>
      <c r="AD43" s="311"/>
      <c r="AE43" s="311"/>
      <c r="AF43" s="311"/>
      <c r="AG43" s="312"/>
      <c r="AH43" s="171"/>
    </row>
    <row r="44" spans="1:36" ht="14.25" hidden="1" customHeight="1">
      <c r="A44"/>
    </row>
    <row r="45" spans="1:36" ht="30.75" customHeight="1">
      <c r="A45" s="61"/>
      <c r="B45" s="32"/>
      <c r="F45" s="197" t="s">
        <v>4071</v>
      </c>
      <c r="G45" s="197"/>
      <c r="H45" s="197"/>
      <c r="I45" s="197"/>
      <c r="J45" s="197"/>
      <c r="K45" s="197"/>
      <c r="L45" s="197"/>
      <c r="M45" s="197"/>
      <c r="N45" s="197"/>
      <c r="O45" s="198"/>
      <c r="P45" s="197"/>
      <c r="Q45" s="197"/>
      <c r="R45" s="197"/>
      <c r="S45" s="197"/>
      <c r="T45" s="197"/>
      <c r="U45" s="197"/>
      <c r="V45" s="197"/>
      <c r="W45" s="197"/>
      <c r="X45" s="197"/>
      <c r="Y45" s="197"/>
      <c r="Z45" s="197"/>
      <c r="AA45" s="197"/>
      <c r="AB45" s="197"/>
      <c r="AC45" s="197"/>
      <c r="AD45" s="197"/>
      <c r="AE45" s="197"/>
      <c r="AF45" s="197"/>
      <c r="AG45" s="197"/>
    </row>
    <row r="46" spans="1:36">
      <c r="A46" s="61"/>
      <c r="B46" s="32"/>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44" t="s">
        <v>3119</v>
      </c>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row>
    <row r="49" spans="1:33">
      <c r="A49" s="61"/>
      <c r="B49" s="32"/>
    </row>
    <row r="50" spans="1:33" ht="24" customHeight="1">
      <c r="A50" s="61"/>
      <c r="B50" s="32" t="s">
        <v>3904</v>
      </c>
      <c r="F50" s="245" t="s">
        <v>3120</v>
      </c>
      <c r="G50" s="246"/>
      <c r="H50" s="247" t="s">
        <v>3121</v>
      </c>
      <c r="I50" s="248"/>
      <c r="J50" s="248"/>
      <c r="K50" s="199" t="s">
        <v>1</v>
      </c>
      <c r="L50" s="200"/>
      <c r="M50" s="200"/>
      <c r="N50" s="200"/>
      <c r="O50" s="201"/>
      <c r="P50" s="199" t="s">
        <v>3123</v>
      </c>
      <c r="Q50" s="200"/>
      <c r="R50" s="200"/>
      <c r="S50" s="200"/>
      <c r="T50" s="200"/>
      <c r="U50" s="201"/>
      <c r="V50" s="199" t="s">
        <v>3122</v>
      </c>
      <c r="W50" s="200"/>
      <c r="X50" s="200"/>
      <c r="Y50" s="200"/>
      <c r="Z50" s="200"/>
      <c r="AA50" s="200"/>
      <c r="AB50" s="200"/>
      <c r="AC50" s="200"/>
      <c r="AD50" s="200"/>
      <c r="AE50" s="201"/>
      <c r="AF50" s="199" t="s">
        <v>159</v>
      </c>
      <c r="AG50" s="200"/>
    </row>
    <row r="51" spans="1:33">
      <c r="A51" s="61"/>
      <c r="B51" s="32"/>
      <c r="F51" s="298">
        <v>1</v>
      </c>
      <c r="G51" s="299"/>
      <c r="H51" s="300">
        <v>46219</v>
      </c>
      <c r="I51" s="300"/>
      <c r="J51" s="300"/>
      <c r="K51" s="301" t="s">
        <v>1778</v>
      </c>
      <c r="L51" s="301"/>
      <c r="M51" s="301"/>
      <c r="N51" s="301"/>
      <c r="O51" s="301"/>
      <c r="P51" s="301" t="s">
        <v>1260</v>
      </c>
      <c r="Q51" s="301"/>
      <c r="R51" s="301"/>
      <c r="S51" s="301"/>
      <c r="T51" s="301"/>
      <c r="U51" s="301"/>
      <c r="V51" s="301" t="s">
        <v>8702</v>
      </c>
      <c r="W51" s="301"/>
      <c r="X51" s="301"/>
      <c r="Y51" s="301"/>
      <c r="Z51" s="301"/>
      <c r="AA51" s="301"/>
      <c r="AB51" s="301"/>
      <c r="AC51" s="301"/>
      <c r="AD51" s="301"/>
      <c r="AE51" s="301"/>
      <c r="AF51" s="297">
        <v>30</v>
      </c>
      <c r="AG51" s="297"/>
    </row>
    <row r="52" spans="1:33">
      <c r="A52" s="61"/>
      <c r="B52" s="32"/>
      <c r="F52" s="298">
        <v>2</v>
      </c>
      <c r="G52" s="299"/>
      <c r="H52" s="300">
        <v>46219</v>
      </c>
      <c r="I52" s="300"/>
      <c r="J52" s="300"/>
      <c r="K52" s="301" t="s">
        <v>1778</v>
      </c>
      <c r="L52" s="301"/>
      <c r="M52" s="301"/>
      <c r="N52" s="301"/>
      <c r="O52" s="301"/>
      <c r="P52" s="301" t="s">
        <v>1260</v>
      </c>
      <c r="Q52" s="301"/>
      <c r="R52" s="301"/>
      <c r="S52" s="301"/>
      <c r="T52" s="301"/>
      <c r="U52" s="301"/>
      <c r="V52" s="301" t="s">
        <v>8703</v>
      </c>
      <c r="W52" s="301"/>
      <c r="X52" s="301"/>
      <c r="Y52" s="301"/>
      <c r="Z52" s="301"/>
      <c r="AA52" s="301"/>
      <c r="AB52" s="301"/>
      <c r="AC52" s="301"/>
      <c r="AD52" s="301"/>
      <c r="AE52" s="301"/>
      <c r="AF52" s="297">
        <v>115</v>
      </c>
      <c r="AG52" s="297"/>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44" t="s">
        <v>125</v>
      </c>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row>
    <row r="58" spans="1:33">
      <c r="A58" s="61"/>
      <c r="B58" s="32"/>
      <c r="F58" s="21"/>
      <c r="G58" s="21"/>
      <c r="H58" s="21"/>
      <c r="I58" s="21"/>
      <c r="J58" s="21"/>
      <c r="K58" s="21"/>
      <c r="L58" s="21"/>
      <c r="M58" s="21"/>
      <c r="N58" s="22"/>
      <c r="O58" s="22"/>
      <c r="P58" s="22"/>
      <c r="Q58" s="22"/>
    </row>
    <row r="59" spans="1:33">
      <c r="A59" s="61"/>
      <c r="B59" s="32" t="s">
        <v>124</v>
      </c>
      <c r="F59" s="59" t="s">
        <v>126</v>
      </c>
      <c r="G59" s="256" t="s">
        <v>1373</v>
      </c>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05" t="s">
        <v>127</v>
      </c>
      <c r="AF59" s="205"/>
      <c r="AG59" s="205"/>
    </row>
    <row r="60" spans="1:33">
      <c r="A60" s="61"/>
      <c r="B60" s="32"/>
      <c r="F60" s="173">
        <v>1</v>
      </c>
      <c r="G60" s="302" t="s">
        <v>8704</v>
      </c>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3">
        <v>5.0000000000000001E-3</v>
      </c>
      <c r="AF60" s="303"/>
      <c r="AG60" s="303"/>
    </row>
    <row r="61" spans="1:33">
      <c r="A61" s="61"/>
      <c r="B61" s="32"/>
      <c r="F61" s="173">
        <v>2</v>
      </c>
      <c r="G61" s="302" t="s">
        <v>8705</v>
      </c>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3">
        <v>5.0000000000000001E-3</v>
      </c>
      <c r="AF61" s="303"/>
      <c r="AG61" s="303"/>
    </row>
    <row r="62" spans="1:33">
      <c r="A62" s="61"/>
      <c r="B62" s="32"/>
      <c r="F62" s="172"/>
      <c r="G62" s="304" t="s">
        <v>128</v>
      </c>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5">
        <v>0.01</v>
      </c>
      <c r="AF62" s="305"/>
      <c r="AG62" s="305"/>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F18:J18"/>
    <mergeCell ref="K18:S18"/>
    <mergeCell ref="F20:AG20"/>
    <mergeCell ref="F22:H23"/>
    <mergeCell ref="I22:L23"/>
    <mergeCell ref="N22:P23"/>
    <mergeCell ref="Q22:S23"/>
    <mergeCell ref="U22:W23"/>
    <mergeCell ref="X22:Z23"/>
    <mergeCell ref="AB22:AD23"/>
    <mergeCell ref="AE22:AG23"/>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AA35:AC35"/>
    <mergeCell ref="AD35:AG35"/>
    <mergeCell ref="AA36:AC36"/>
    <mergeCell ref="AD36:AG36"/>
    <mergeCell ref="AA37:AC37"/>
    <mergeCell ref="AD37:AG37"/>
    <mergeCell ref="F40:N40"/>
    <mergeCell ref="O40:AG40"/>
    <mergeCell ref="F41:N41"/>
    <mergeCell ref="O41:AG41"/>
    <mergeCell ref="F36:X36"/>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F1:AG2"/>
    <mergeCell ref="F3:K3"/>
    <mergeCell ref="L3:AA4"/>
    <mergeCell ref="F4:K4"/>
    <mergeCell ref="F5:AG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6" activePane="bottomRight" state="frozen"/>
      <selection activeCell="B1" sqref="B1"/>
      <selection pane="topRight" activeCell="F1" sqref="F1"/>
      <selection pane="bottomLeft" activeCell="B10" sqref="B10"/>
      <selection pane="bottomRight" activeCell="AN44" sqref="AN4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60" t="s">
        <v>1389</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0.5" hidden="1" customHeight="1">
      <c r="A5" s="209"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0"/>
    </row>
    <row r="7" spans="1:33" ht="14.25" hidden="1" customHeight="1">
      <c r="A7" s="211"/>
    </row>
    <row r="8" spans="1:33" ht="14.25" hidden="1" customHeight="1">
      <c r="A8" s="212" t="s">
        <v>162</v>
      </c>
    </row>
    <row r="9" spans="1:33" ht="14.25" hidden="1" customHeight="1">
      <c r="A9" s="213"/>
    </row>
    <row r="10" spans="1:33" ht="27.95" customHeight="1">
      <c r="A10" s="219" t="s">
        <v>163</v>
      </c>
      <c r="B10" s="32"/>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4.5" customHeight="1">
      <c r="A11" s="219"/>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0" t="s">
        <v>259</v>
      </c>
      <c r="B12" s="32"/>
      <c r="F12" s="214" t="s">
        <v>106</v>
      </c>
      <c r="G12" s="215"/>
      <c r="H12" s="215"/>
      <c r="I12" s="215"/>
      <c r="J12" s="216"/>
      <c r="K12" s="341" t="s">
        <v>8688</v>
      </c>
      <c r="L12" s="342"/>
      <c r="M12" s="342"/>
      <c r="N12" s="342"/>
      <c r="O12" s="342"/>
      <c r="P12" s="342"/>
      <c r="Q12" s="342"/>
      <c r="R12" s="342"/>
      <c r="S12" s="342"/>
      <c r="T12" s="235" t="s">
        <v>107</v>
      </c>
      <c r="U12" s="236"/>
      <c r="V12" s="236"/>
      <c r="W12" s="236"/>
      <c r="X12" s="236"/>
      <c r="Y12" s="344">
        <v>800130690</v>
      </c>
      <c r="Z12" s="344"/>
      <c r="AA12" s="344"/>
      <c r="AB12" s="344"/>
      <c r="AC12" s="344"/>
      <c r="AD12" s="344"/>
      <c r="AE12" s="344"/>
      <c r="AF12" s="344"/>
      <c r="AG12" s="344"/>
    </row>
    <row r="13" spans="1:33" ht="3.75" customHeight="1">
      <c r="A13" s="220"/>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06" t="s">
        <v>164</v>
      </c>
      <c r="B14" s="32"/>
      <c r="F14" s="214" t="s">
        <v>108</v>
      </c>
      <c r="G14" s="215"/>
      <c r="H14" s="215"/>
      <c r="I14" s="215"/>
      <c r="J14" s="216"/>
      <c r="K14" s="341" t="s">
        <v>8689</v>
      </c>
      <c r="L14" s="342"/>
      <c r="M14" s="342"/>
      <c r="N14" s="342"/>
      <c r="O14" s="342"/>
      <c r="P14" s="342"/>
      <c r="Q14" s="342"/>
      <c r="R14" s="342"/>
      <c r="S14" s="342"/>
      <c r="T14" s="214" t="s">
        <v>156</v>
      </c>
      <c r="U14" s="215"/>
      <c r="V14" s="215"/>
      <c r="W14" s="215"/>
      <c r="X14" s="215"/>
      <c r="Y14" s="343" t="s">
        <v>2866</v>
      </c>
      <c r="Z14" s="343"/>
      <c r="AA14" s="343"/>
      <c r="AB14" s="343"/>
      <c r="AC14" s="343"/>
      <c r="AD14" s="343"/>
      <c r="AE14" s="343"/>
      <c r="AF14" s="343"/>
      <c r="AG14" s="343"/>
    </row>
    <row r="15" spans="1:33" ht="2.25" customHeight="1">
      <c r="A15" s="20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4" t="s">
        <v>165</v>
      </c>
      <c r="B16" s="32"/>
      <c r="F16" s="235" t="s">
        <v>110</v>
      </c>
      <c r="G16" s="236"/>
      <c r="H16" s="236"/>
      <c r="I16" s="236"/>
      <c r="J16" s="236"/>
      <c r="K16" s="341" t="s">
        <v>8690</v>
      </c>
      <c r="L16" s="342"/>
      <c r="M16" s="342"/>
      <c r="N16" s="342"/>
      <c r="O16" s="342"/>
      <c r="P16" s="342"/>
      <c r="Q16" s="342"/>
      <c r="R16" s="342"/>
      <c r="S16" s="342"/>
      <c r="T16" s="242" t="s">
        <v>109</v>
      </c>
      <c r="U16" s="243"/>
      <c r="V16" s="243"/>
      <c r="W16" s="243"/>
      <c r="X16" s="243"/>
      <c r="Y16" s="344">
        <v>3234801420</v>
      </c>
      <c r="Z16" s="344"/>
      <c r="AA16" s="344"/>
      <c r="AB16" s="344"/>
      <c r="AC16" s="344"/>
      <c r="AD16" s="344"/>
      <c r="AE16" s="344"/>
      <c r="AF16" s="344"/>
      <c r="AG16" s="344"/>
    </row>
    <row r="17" spans="1:49" ht="3" customHeight="1">
      <c r="A17" s="21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06"/>
      <c r="B19" s="32"/>
      <c r="F19" s="11"/>
      <c r="G19" s="11"/>
      <c r="H19" s="11"/>
      <c r="I19" s="11"/>
      <c r="J19" s="11"/>
    </row>
    <row r="20" spans="1:49" ht="27.95" customHeight="1">
      <c r="A20" s="234" t="s">
        <v>167</v>
      </c>
      <c r="B20" s="32"/>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B21" s="32"/>
    </row>
    <row r="22" spans="1:49" ht="13.9" customHeight="1">
      <c r="A22" s="206" t="s">
        <v>1366</v>
      </c>
      <c r="B22" s="69"/>
      <c r="C22" s="16"/>
      <c r="D22" s="16"/>
      <c r="F22" s="228" t="s">
        <v>3126</v>
      </c>
      <c r="G22" s="229"/>
      <c r="H22" s="230"/>
      <c r="I22" s="329" t="s">
        <v>8692</v>
      </c>
      <c r="J22" s="330"/>
      <c r="K22" s="330"/>
      <c r="L22" s="331"/>
      <c r="M22" s="17"/>
      <c r="N22" s="228" t="s">
        <v>3918</v>
      </c>
      <c r="O22" s="229"/>
      <c r="P22" s="230"/>
      <c r="Q22" s="329" t="s">
        <v>1374</v>
      </c>
      <c r="R22" s="330"/>
      <c r="S22" s="331"/>
      <c r="T22" s="17"/>
      <c r="U22" s="228" t="s">
        <v>276</v>
      </c>
      <c r="V22" s="229"/>
      <c r="W22" s="230"/>
      <c r="X22" s="329" t="s">
        <v>8708</v>
      </c>
      <c r="Y22" s="330"/>
      <c r="Z22" s="331"/>
      <c r="AA22" s="17"/>
      <c r="AB22" s="228" t="s">
        <v>112</v>
      </c>
      <c r="AC22" s="229"/>
      <c r="AD22" s="230"/>
      <c r="AE22" s="335">
        <v>63484625</v>
      </c>
      <c r="AF22" s="336"/>
      <c r="AG22" s="337"/>
    </row>
    <row r="23" spans="1:49" ht="14.25" customHeight="1">
      <c r="A23" s="207"/>
      <c r="B23" s="32"/>
      <c r="F23" s="231"/>
      <c r="G23" s="232"/>
      <c r="H23" s="233"/>
      <c r="I23" s="332"/>
      <c r="J23" s="333"/>
      <c r="K23" s="333"/>
      <c r="L23" s="334"/>
      <c r="M23" s="17"/>
      <c r="N23" s="231"/>
      <c r="O23" s="232"/>
      <c r="P23" s="233"/>
      <c r="Q23" s="332"/>
      <c r="R23" s="333"/>
      <c r="S23" s="334"/>
      <c r="T23" s="17"/>
      <c r="U23" s="231"/>
      <c r="V23" s="232"/>
      <c r="W23" s="233"/>
      <c r="X23" s="332"/>
      <c r="Y23" s="333"/>
      <c r="Z23" s="334"/>
      <c r="AA23" s="17"/>
      <c r="AB23" s="231"/>
      <c r="AC23" s="232"/>
      <c r="AD23" s="233"/>
      <c r="AE23" s="338"/>
      <c r="AF23" s="339"/>
      <c r="AG23" s="340"/>
    </row>
    <row r="24" spans="1:49" ht="15" customHeight="1">
      <c r="A24" s="221"/>
      <c r="B24" s="32"/>
      <c r="F24" s="11"/>
      <c r="G24" s="11"/>
      <c r="H24" s="11"/>
      <c r="I24" s="11"/>
      <c r="J24" s="11"/>
    </row>
    <row r="25" spans="1:49" ht="45" customHeight="1">
      <c r="A25" s="221"/>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c r="A26" s="208"/>
      <c r="B26" s="32"/>
    </row>
    <row r="27" spans="1:49" ht="14.25" hidden="1" customHeight="1">
      <c r="A27" s="208"/>
      <c r="B27" s="32"/>
      <c r="F27" s="11"/>
      <c r="G27" s="11"/>
      <c r="H27" s="11"/>
      <c r="I27" s="11"/>
      <c r="J27" s="11"/>
    </row>
    <row r="28" spans="1:49" ht="14.25" hidden="1" customHeight="1">
      <c r="A28" s="103"/>
      <c r="B28" s="32"/>
      <c r="F28" s="228" t="s">
        <v>4086</v>
      </c>
      <c r="G28" s="229"/>
      <c r="H28" s="230"/>
      <c r="I28" s="317"/>
      <c r="J28" s="317"/>
      <c r="K28" s="317"/>
      <c r="L28" s="222" t="s">
        <v>4226</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hidden="1" customHeight="1">
      <c r="A29" s="103"/>
      <c r="B29" s="32"/>
      <c r="F29" s="231"/>
      <c r="G29" s="232"/>
      <c r="H29" s="233"/>
      <c r="I29" s="317"/>
      <c r="J29" s="317"/>
      <c r="K29" s="317"/>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1851</v>
      </c>
      <c r="J32" s="350"/>
      <c r="K32" s="350"/>
      <c r="L32" s="350"/>
      <c r="M32" s="350"/>
      <c r="N32" s="350"/>
      <c r="O32" s="350"/>
      <c r="P32" s="350"/>
      <c r="Q32" s="350"/>
      <c r="R32" s="350"/>
      <c r="S32" s="350"/>
      <c r="T32" s="348" t="s">
        <v>3916</v>
      </c>
      <c r="U32" s="349"/>
      <c r="V32" s="349"/>
      <c r="W32" s="354" t="str">
        <f>+IFERROR(VLOOKUP(Cotizacion!$I$32,Cat_Filtro2!$E:$L,8,FALSE),"")</f>
        <v>REGION 7</v>
      </c>
      <c r="X32" s="355"/>
      <c r="Y32" s="355"/>
      <c r="Z32" s="356"/>
    </row>
    <row r="33" spans="1:47" ht="39.950000000000003"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min03-P1</v>
      </c>
      <c r="H34" s="351"/>
      <c r="I34" s="351"/>
      <c r="J34" s="352" t="str">
        <f>+SolCotizacion!$L$28</f>
        <v>BOTA DE COMBATE MEDIA CAÑA EN CUERO SISTEMA VULCANIZADO E INYECCIÓN DIRECTA_según NTMD vigente</v>
      </c>
      <c r="K34" s="352"/>
      <c r="L34" s="352"/>
      <c r="M34" s="352"/>
      <c r="N34" s="352"/>
      <c r="O34" s="352"/>
      <c r="P34" s="352"/>
      <c r="Q34" s="352"/>
      <c r="R34" s="352"/>
      <c r="S34" s="352"/>
      <c r="T34" s="352"/>
      <c r="U34" s="353">
        <v>145</v>
      </c>
      <c r="V34" s="353"/>
      <c r="W34" s="353"/>
      <c r="X34" s="323">
        <f>+IFERROR(ROUND(VLOOKUP(F34&amp;"_"&amp;G34,Cat_resumido!$C:$CZ,Var!$F$6-2,FALSE)/U34,2),"")</f>
        <v>538740</v>
      </c>
      <c r="Y34" s="324"/>
      <c r="Z34" s="325"/>
      <c r="AA34" s="314">
        <f ca="1">+IFERROR(ROUND(X34/(1-Var!$F$3),2),"")</f>
        <v>544181.81999999995</v>
      </c>
      <c r="AB34" s="314"/>
      <c r="AC34" s="314"/>
      <c r="AD34" s="346"/>
      <c r="AE34" s="346"/>
      <c r="AF34" s="314">
        <f ca="1">IFERROR(ROUND(AA34*(1-AD34),2),"")</f>
        <v>544181.81999999995</v>
      </c>
      <c r="AG34" s="314"/>
      <c r="AH34" s="314"/>
      <c r="AI34" s="314">
        <f ca="1">IFERROR(ROUND(AF34*U34,2),"")</f>
        <v>78906363.900000006</v>
      </c>
      <c r="AJ34" s="314"/>
      <c r="AK34" s="314"/>
      <c r="AL34" s="345" t="s">
        <v>240</v>
      </c>
      <c r="AM34" s="345"/>
      <c r="AN34" s="346">
        <v>0.19</v>
      </c>
      <c r="AO34" s="346"/>
      <c r="AP34" s="314">
        <f ca="1">+IFERROR(IF(AL34="SI",ROUND(AI34*AN34,2),0),"")</f>
        <v>14992209.140000001</v>
      </c>
      <c r="AQ34" s="314"/>
      <c r="AR34" s="314"/>
      <c r="AS34" s="314">
        <f ca="1">+IFERROR(ROUND(AI34+AP34,2),"")</f>
        <v>93898573.040000007</v>
      </c>
      <c r="AT34" s="314"/>
      <c r="AU34" s="314"/>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06"/>
      <c r="H38" s="306"/>
      <c r="I38" s="306"/>
      <c r="J38" s="306"/>
      <c r="K38" s="306"/>
      <c r="L38" s="306"/>
      <c r="M38" s="306"/>
      <c r="N38" s="306"/>
      <c r="O38" s="313" t="s">
        <v>1311</v>
      </c>
      <c r="P38" s="313"/>
      <c r="Q38" s="313"/>
      <c r="R38" s="313"/>
      <c r="S38" s="313"/>
      <c r="T38" s="313"/>
      <c r="U38" s="313"/>
      <c r="V38" s="313"/>
      <c r="W38" s="313"/>
      <c r="X38" s="313"/>
      <c r="Y38" s="313"/>
      <c r="Z38" s="313"/>
      <c r="AA38" s="313"/>
      <c r="AB38" s="313"/>
      <c r="AC38" s="313"/>
      <c r="AD38" s="313"/>
      <c r="AE38" s="313"/>
      <c r="AF38" s="313"/>
      <c r="AG38" s="313"/>
      <c r="AH38" s="171"/>
    </row>
    <row r="39" spans="1:47" ht="27.95" customHeight="1">
      <c r="A39" s="61"/>
      <c r="B39" s="32"/>
      <c r="F39" s="284" t="s">
        <v>3907</v>
      </c>
      <c r="G39" s="306"/>
      <c r="H39" s="306"/>
      <c r="I39" s="306"/>
      <c r="J39" s="306"/>
      <c r="K39" s="306"/>
      <c r="L39" s="306"/>
      <c r="M39" s="306"/>
      <c r="N39" s="306"/>
      <c r="O39" s="313" t="s">
        <v>8701</v>
      </c>
      <c r="P39" s="313"/>
      <c r="Q39" s="313"/>
      <c r="R39" s="313"/>
      <c r="S39" s="313"/>
      <c r="T39" s="313"/>
      <c r="U39" s="313"/>
      <c r="V39" s="313"/>
      <c r="W39" s="313"/>
      <c r="X39" s="313"/>
      <c r="Y39" s="313"/>
      <c r="Z39" s="313"/>
      <c r="AA39" s="313"/>
      <c r="AB39" s="313"/>
      <c r="AC39" s="313"/>
      <c r="AD39" s="313"/>
      <c r="AE39" s="313"/>
      <c r="AF39" s="313"/>
      <c r="AG39" s="313"/>
      <c r="AH39" s="171"/>
    </row>
    <row r="40" spans="1:47" ht="21" customHeight="1">
      <c r="A40" s="61"/>
      <c r="B40" s="32"/>
      <c r="F40" s="284" t="s">
        <v>3284</v>
      </c>
      <c r="G40" s="306"/>
      <c r="H40" s="306"/>
      <c r="I40" s="306"/>
      <c r="J40" s="306"/>
      <c r="K40" s="306"/>
      <c r="L40" s="306"/>
      <c r="M40" s="306"/>
      <c r="N40" s="306"/>
      <c r="O40" s="307" t="s">
        <v>8701</v>
      </c>
      <c r="P40" s="307"/>
      <c r="Q40" s="307"/>
      <c r="R40" s="307"/>
      <c r="S40" s="307"/>
      <c r="T40" s="307"/>
      <c r="U40" s="307"/>
      <c r="V40" s="307"/>
      <c r="W40" s="307"/>
      <c r="X40" s="307"/>
      <c r="Y40" s="307"/>
      <c r="Z40" s="307"/>
      <c r="AA40" s="307"/>
      <c r="AB40" s="307"/>
      <c r="AC40" s="307"/>
      <c r="AD40" s="307"/>
      <c r="AE40" s="307"/>
      <c r="AF40" s="307"/>
      <c r="AG40" s="307"/>
      <c r="AH40" s="171"/>
    </row>
    <row r="41" spans="1:47" ht="21" customHeight="1">
      <c r="A41" s="61"/>
      <c r="B41" s="32"/>
      <c r="F41" s="285" t="s">
        <v>3908</v>
      </c>
      <c r="G41" s="308"/>
      <c r="H41" s="308"/>
      <c r="I41" s="308"/>
      <c r="J41" s="308"/>
      <c r="K41" s="308"/>
      <c r="L41" s="308"/>
      <c r="M41" s="308"/>
      <c r="N41" s="309"/>
      <c r="O41" s="310" t="s">
        <v>8701</v>
      </c>
      <c r="P41" s="311"/>
      <c r="Q41" s="311"/>
      <c r="R41" s="311"/>
      <c r="S41" s="311"/>
      <c r="T41" s="311"/>
      <c r="U41" s="311"/>
      <c r="V41" s="311"/>
      <c r="W41" s="311"/>
      <c r="X41" s="311"/>
      <c r="Y41" s="311"/>
      <c r="Z41" s="311"/>
      <c r="AA41" s="311"/>
      <c r="AB41" s="311"/>
      <c r="AC41" s="311"/>
      <c r="AD41" s="311"/>
      <c r="AE41" s="311"/>
      <c r="AF41" s="311"/>
      <c r="AG41" s="312"/>
      <c r="AH41" s="171"/>
    </row>
    <row r="42" spans="1:47" ht="14.25" hidden="1" customHeight="1">
      <c r="A42"/>
    </row>
    <row r="43" spans="1:47" ht="30.75" customHeight="1">
      <c r="A43" s="61"/>
      <c r="B43" s="32"/>
      <c r="F43" s="197" t="s">
        <v>4071</v>
      </c>
      <c r="G43" s="197"/>
      <c r="H43" s="197"/>
      <c r="I43" s="197"/>
      <c r="J43" s="197"/>
      <c r="K43" s="197"/>
      <c r="L43" s="197"/>
      <c r="M43" s="197"/>
      <c r="N43" s="197"/>
      <c r="O43" s="198"/>
      <c r="P43" s="197"/>
      <c r="Q43" s="197"/>
      <c r="R43" s="197"/>
      <c r="S43" s="197"/>
      <c r="T43" s="197"/>
      <c r="U43" s="197"/>
      <c r="V43" s="197"/>
      <c r="W43" s="197"/>
      <c r="X43" s="197"/>
      <c r="Y43" s="197"/>
      <c r="Z43" s="197"/>
      <c r="AA43" s="197"/>
      <c r="AB43" s="197"/>
      <c r="AC43" s="197"/>
      <c r="AD43" s="197"/>
      <c r="AE43" s="197"/>
      <c r="AF43" s="197"/>
      <c r="AG43" s="197"/>
    </row>
    <row r="44" spans="1:47">
      <c r="A44" s="61"/>
      <c r="B44" s="32"/>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44" t="s">
        <v>3119</v>
      </c>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row>
    <row r="47" spans="1:47">
      <c r="A47" s="61"/>
      <c r="B47" s="32"/>
    </row>
    <row r="48" spans="1:47" ht="24" customHeight="1">
      <c r="A48" s="61"/>
      <c r="B48" s="32" t="s">
        <v>3904</v>
      </c>
      <c r="F48" s="245" t="s">
        <v>3120</v>
      </c>
      <c r="G48" s="246"/>
      <c r="H48" s="247" t="s">
        <v>3121</v>
      </c>
      <c r="I48" s="248"/>
      <c r="J48" s="248"/>
      <c r="K48" s="199" t="s">
        <v>1</v>
      </c>
      <c r="L48" s="200"/>
      <c r="M48" s="200"/>
      <c r="N48" s="200"/>
      <c r="O48" s="201"/>
      <c r="P48" s="199" t="s">
        <v>3123</v>
      </c>
      <c r="Q48" s="200"/>
      <c r="R48" s="200"/>
      <c r="S48" s="200"/>
      <c r="T48" s="200"/>
      <c r="U48" s="201"/>
      <c r="V48" s="199" t="s">
        <v>3122</v>
      </c>
      <c r="W48" s="200"/>
      <c r="X48" s="200"/>
      <c r="Y48" s="200"/>
      <c r="Z48" s="200"/>
      <c r="AA48" s="200"/>
      <c r="AB48" s="200"/>
      <c r="AC48" s="200"/>
      <c r="AD48" s="200"/>
      <c r="AE48" s="201"/>
      <c r="AF48" s="199" t="s">
        <v>159</v>
      </c>
      <c r="AG48" s="200"/>
    </row>
    <row r="49" spans="1:33">
      <c r="A49" s="61"/>
      <c r="B49" s="32"/>
      <c r="F49" s="298">
        <v>1</v>
      </c>
      <c r="G49" s="299"/>
      <c r="H49" s="300">
        <v>46219</v>
      </c>
      <c r="I49" s="300"/>
      <c r="J49" s="300"/>
      <c r="K49" s="301" t="s">
        <v>1778</v>
      </c>
      <c r="L49" s="301"/>
      <c r="M49" s="301"/>
      <c r="N49" s="301"/>
      <c r="O49" s="301"/>
      <c r="P49" s="301" t="s">
        <v>1260</v>
      </c>
      <c r="Q49" s="301"/>
      <c r="R49" s="301"/>
      <c r="S49" s="301"/>
      <c r="T49" s="301"/>
      <c r="U49" s="301"/>
      <c r="V49" s="301" t="s">
        <v>8702</v>
      </c>
      <c r="W49" s="301"/>
      <c r="X49" s="301"/>
      <c r="Y49" s="301"/>
      <c r="Z49" s="301"/>
      <c r="AA49" s="301"/>
      <c r="AB49" s="301"/>
      <c r="AC49" s="301"/>
      <c r="AD49" s="301"/>
      <c r="AE49" s="301"/>
      <c r="AF49" s="297">
        <v>30</v>
      </c>
      <c r="AG49" s="297"/>
    </row>
    <row r="50" spans="1:33">
      <c r="A50" s="61"/>
      <c r="B50" s="32"/>
      <c r="F50" s="298">
        <v>2</v>
      </c>
      <c r="G50" s="299"/>
      <c r="H50" s="300">
        <v>46219</v>
      </c>
      <c r="I50" s="300"/>
      <c r="J50" s="300"/>
      <c r="K50" s="301" t="s">
        <v>1778</v>
      </c>
      <c r="L50" s="301"/>
      <c r="M50" s="301"/>
      <c r="N50" s="301"/>
      <c r="O50" s="301"/>
      <c r="P50" s="301" t="s">
        <v>1260</v>
      </c>
      <c r="Q50" s="301"/>
      <c r="R50" s="301"/>
      <c r="S50" s="301"/>
      <c r="T50" s="301"/>
      <c r="U50" s="301"/>
      <c r="V50" s="301" t="s">
        <v>8703</v>
      </c>
      <c r="W50" s="301"/>
      <c r="X50" s="301"/>
      <c r="Y50" s="301"/>
      <c r="Z50" s="301"/>
      <c r="AA50" s="301"/>
      <c r="AB50" s="301"/>
      <c r="AC50" s="301"/>
      <c r="AD50" s="301"/>
      <c r="AE50" s="301"/>
      <c r="AF50" s="297">
        <v>115</v>
      </c>
      <c r="AG50" s="297"/>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44" t="s">
        <v>125</v>
      </c>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row>
    <row r="56" spans="1:33">
      <c r="A56" s="61"/>
      <c r="B56" s="32"/>
      <c r="F56" s="21"/>
      <c r="G56" s="21"/>
      <c r="H56" s="21"/>
      <c r="I56" s="21"/>
      <c r="J56" s="21"/>
      <c r="K56" s="21"/>
      <c r="L56" s="21"/>
      <c r="M56" s="21"/>
      <c r="N56" s="22"/>
      <c r="O56" s="22"/>
      <c r="P56" s="22"/>
      <c r="Q56" s="22"/>
    </row>
    <row r="57" spans="1:33">
      <c r="A57" s="61"/>
      <c r="B57" s="32" t="s">
        <v>124</v>
      </c>
      <c r="F57" s="59" t="s">
        <v>126</v>
      </c>
      <c r="G57" s="256" t="s">
        <v>1373</v>
      </c>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05" t="s">
        <v>127</v>
      </c>
      <c r="AF57" s="205"/>
      <c r="AG57" s="205"/>
    </row>
    <row r="58" spans="1:33">
      <c r="A58" s="61"/>
      <c r="B58" s="32"/>
      <c r="F58" s="173">
        <v>1</v>
      </c>
      <c r="G58" s="302" t="s">
        <v>8704</v>
      </c>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3">
        <v>5.0000000000000001E-3</v>
      </c>
      <c r="AF58" s="303"/>
      <c r="AG58" s="303"/>
    </row>
    <row r="59" spans="1:33">
      <c r="A59" s="61"/>
      <c r="B59" s="32"/>
      <c r="F59" s="173">
        <v>2</v>
      </c>
      <c r="G59" s="302" t="s">
        <v>8705</v>
      </c>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3">
        <v>5.0000000000000001E-3</v>
      </c>
      <c r="AF59" s="303"/>
      <c r="AG59" s="303"/>
    </row>
    <row r="60" spans="1:33">
      <c r="A60" s="61"/>
      <c r="B60" s="32"/>
      <c r="F60" s="172"/>
      <c r="G60" s="304" t="s">
        <v>128</v>
      </c>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5">
        <v>0.01</v>
      </c>
      <c r="AF60" s="305"/>
      <c r="AG60" s="305"/>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Vc9TAVlfajksbiECoC/dytcGWMPz7/LunN9uCZhF/NpZ7gCWpQ3IKXjFuqXZCY1XkOZVSSlGz4YO4786g7v2gA==" saltValue="sEMFWlD5Mg4K7/vgy4xL1w=="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19" t="s">
        <v>163</v>
      </c>
    </row>
    <row r="11" spans="1:1" ht="4.5" customHeight="1">
      <c r="A11" s="219"/>
    </row>
    <row r="12" spans="1:1" ht="14.25" customHeight="1">
      <c r="A12" s="220" t="s">
        <v>259</v>
      </c>
    </row>
    <row r="13" spans="1:1" ht="3.75" customHeight="1">
      <c r="A13" s="220"/>
    </row>
    <row r="14" spans="1:1" ht="14.25" customHeight="1">
      <c r="A14" s="206" t="s">
        <v>164</v>
      </c>
    </row>
    <row r="15" spans="1:1" ht="2.25" customHeight="1">
      <c r="A15" s="206"/>
    </row>
    <row r="16" spans="1:1" ht="14.25" customHeight="1">
      <c r="A16" s="234" t="s">
        <v>165</v>
      </c>
    </row>
    <row r="17" spans="1:104" ht="3" customHeight="1">
      <c r="A17" s="213"/>
    </row>
    <row r="18" spans="1:104" s="15" customFormat="1" ht="14.25" customHeight="1">
      <c r="A18" s="206"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06"/>
    </row>
    <row r="20" spans="1:104" ht="27.95" customHeight="1">
      <c r="A20" s="234" t="s">
        <v>167</v>
      </c>
    </row>
    <row r="21" spans="1:104" ht="4.5" customHeight="1">
      <c r="A21" s="213"/>
    </row>
    <row r="22" spans="1:104" ht="13.9" customHeight="1">
      <c r="A22" s="206" t="s">
        <v>1366</v>
      </c>
    </row>
    <row r="23" spans="1:104" ht="14.25" customHeight="1">
      <c r="A23" s="207"/>
    </row>
    <row r="24" spans="1:104" ht="15" customHeight="1">
      <c r="A24" s="221"/>
    </row>
    <row r="25" spans="1:104" ht="45" customHeight="1">
      <c r="A25" s="221"/>
    </row>
    <row r="26" spans="1:104" ht="14.25" customHeight="1">
      <c r="A26" s="208"/>
    </row>
    <row r="27" spans="1:104" ht="14.25" hidden="1" customHeight="1">
      <c r="A27" s="208"/>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ibd2gli/XubkWrX9bC4USKgS1GKEgiITpvUaYx4xZwR5lrir4KlFl+1sKvozy8j7/bFGDkjrgi4arfBDXzrVZQ==" saltValue="nnhjS/LS5LkTFh/BSDfeSw=="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60" t="s">
        <v>4061</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28"/>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30"/>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31"/>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5" hidden="1">
      <c r="A5" s="180"/>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c r="A6" s="180"/>
    </row>
    <row r="7" spans="1:33" hidden="1">
      <c r="A7" s="180"/>
    </row>
    <row r="8" spans="1:33" hidden="1">
      <c r="A8" s="179"/>
    </row>
    <row r="9" spans="1:33" hidden="1">
      <c r="A9" s="179"/>
    </row>
    <row r="10" spans="1:33" ht="27.95" hidden="1" customHeight="1">
      <c r="B10" s="32"/>
      <c r="F10" s="244" t="s">
        <v>4066</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05" t="s">
        <v>1322</v>
      </c>
      <c r="Y33" s="205"/>
      <c r="Z33" s="205"/>
      <c r="AA33" s="205" t="s">
        <v>1449</v>
      </c>
      <c r="AB33" s="205"/>
      <c r="AC33" s="205"/>
      <c r="AD33" s="205" t="s">
        <v>3926</v>
      </c>
      <c r="AE33" s="205"/>
      <c r="AF33" s="205" t="s">
        <v>3927</v>
      </c>
      <c r="AG33" s="205"/>
      <c r="AH33" s="205"/>
      <c r="AI33" s="205" t="s">
        <v>1352</v>
      </c>
      <c r="AJ33" s="205"/>
      <c r="AK33" s="205"/>
      <c r="AL33" s="205" t="s">
        <v>1324</v>
      </c>
      <c r="AM33" s="205"/>
      <c r="AN33" s="205" t="s">
        <v>1450</v>
      </c>
      <c r="AO33" s="205"/>
      <c r="AP33" s="205" t="s">
        <v>1354</v>
      </c>
      <c r="AQ33" s="205"/>
      <c r="AR33" s="205"/>
      <c r="AS33" s="205" t="s">
        <v>1353</v>
      </c>
      <c r="AT33" s="205"/>
      <c r="AU33" s="205"/>
      <c r="AV33" s="205" t="s">
        <v>3934</v>
      </c>
      <c r="AW33" s="205"/>
      <c r="AX33" s="205"/>
      <c r="AY33" s="205" t="s">
        <v>145</v>
      </c>
      <c r="AZ33" s="205"/>
      <c r="BA33" s="205"/>
      <c r="BB33" s="205"/>
      <c r="BC33" s="205"/>
      <c r="BD33" s="205"/>
      <c r="BE33" s="205" t="s">
        <v>3935</v>
      </c>
      <c r="BF33" s="205"/>
      <c r="BG33" s="205"/>
      <c r="BH33" s="205" t="s">
        <v>3936</v>
      </c>
      <c r="BI33" s="205"/>
      <c r="BJ33" s="205"/>
      <c r="BK33" s="205" t="s">
        <v>3938</v>
      </c>
      <c r="BL33" s="205"/>
      <c r="BM33" s="205"/>
    </row>
  </sheetData>
  <sheetProtection algorithmName="SHA-512" hashValue="hEAleepRkaFJlMq4piUIegE4D4IoNiqMjJ3M3bsatbn+htzONYxKS6MWE8Nm0hDanzMfH0JQNrmjwv/4z0Fz2A==" saltValue="YtV0VdtnZErA3yDOjs1QCQ=="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60" t="s">
        <v>1390</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A2" s="61"/>
      <c r="B2" s="44"/>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B3" s="44"/>
      <c r="F3" s="365" t="str">
        <f>+SolCotizacion!F3</f>
        <v>Versión:7        05/02/2026</v>
      </c>
      <c r="G3" s="365"/>
      <c r="H3" s="365"/>
      <c r="I3" s="365"/>
      <c r="J3" s="365"/>
      <c r="K3" s="60"/>
      <c r="L3" s="261" t="s">
        <v>1565</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c r="B4" s="44"/>
      <c r="F4" s="366">
        <f>+SolCotizacion!F4</f>
        <v>0</v>
      </c>
      <c r="G4" s="366"/>
      <c r="H4" s="366"/>
      <c r="I4" s="366"/>
      <c r="J4" s="366"/>
      <c r="K4" s="60"/>
      <c r="L4" s="261"/>
      <c r="M4" s="261"/>
      <c r="N4" s="261"/>
      <c r="O4" s="261"/>
      <c r="P4" s="261"/>
      <c r="Q4" s="261"/>
      <c r="R4" s="261"/>
      <c r="S4" s="261"/>
      <c r="T4" s="261"/>
      <c r="U4" s="261"/>
      <c r="V4" s="261"/>
      <c r="W4" s="261"/>
      <c r="X4" s="261"/>
      <c r="Y4" s="261"/>
      <c r="Z4" s="261"/>
      <c r="AA4" s="261"/>
      <c r="AB4" s="60"/>
      <c r="AC4" s="60"/>
      <c r="AD4" s="60"/>
      <c r="AE4" s="60"/>
      <c r="AF4" s="60"/>
      <c r="AG4" s="60"/>
    </row>
    <row r="5" spans="1:38" ht="15" hidden="1">
      <c r="A5" s="209" t="s">
        <v>170</v>
      </c>
      <c r="B5" s="44"/>
      <c r="F5" s="262" t="s">
        <v>1368</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0"/>
      <c r="B6" s="44"/>
      <c r="F6" s="11"/>
      <c r="G6" s="11"/>
      <c r="H6" s="11"/>
      <c r="I6" s="11"/>
      <c r="J6" s="11"/>
    </row>
    <row r="7" spans="1:38" ht="14.25" customHeight="1">
      <c r="A7" s="211"/>
      <c r="B7" s="44"/>
      <c r="F7" s="11"/>
      <c r="G7" s="11"/>
      <c r="H7" s="11"/>
      <c r="I7" s="11"/>
      <c r="J7" s="11"/>
    </row>
    <row r="8" spans="1:38" ht="14.25" customHeight="1">
      <c r="A8" s="212" t="s">
        <v>162</v>
      </c>
      <c r="B8" s="44"/>
      <c r="F8" s="11"/>
      <c r="G8" s="11"/>
      <c r="H8" s="11"/>
      <c r="I8" s="11"/>
      <c r="J8" s="11"/>
    </row>
    <row r="9" spans="1:38" ht="14.25" customHeight="1">
      <c r="A9" s="213"/>
      <c r="B9" s="44"/>
      <c r="F9" s="360" t="s">
        <v>273</v>
      </c>
      <c r="G9" s="361"/>
      <c r="H9" s="361"/>
      <c r="I9" s="361"/>
      <c r="J9" s="361"/>
      <c r="K9" s="361"/>
      <c r="L9" s="361"/>
      <c r="M9" s="361"/>
      <c r="N9" s="361"/>
    </row>
    <row r="10" spans="1:38">
      <c r="A10" s="220" t="s">
        <v>163</v>
      </c>
      <c r="B10" s="44"/>
      <c r="F10" s="362" t="s">
        <v>171</v>
      </c>
      <c r="G10" s="362"/>
      <c r="H10" s="362"/>
      <c r="I10" s="362"/>
      <c r="J10" s="362"/>
      <c r="K10" s="362" t="s">
        <v>173</v>
      </c>
      <c r="L10" s="362"/>
      <c r="M10" s="362"/>
      <c r="N10" s="362"/>
    </row>
    <row r="11" spans="1:38" ht="4.5" customHeight="1">
      <c r="A11" s="220"/>
      <c r="B11" s="44"/>
      <c r="F11" s="362"/>
      <c r="G11" s="362"/>
      <c r="H11" s="362"/>
      <c r="I11" s="362"/>
      <c r="J11" s="362"/>
      <c r="K11" s="362"/>
      <c r="L11" s="362"/>
      <c r="M11" s="362"/>
      <c r="N11" s="362"/>
    </row>
    <row r="12" spans="1:38" ht="14.25" customHeight="1">
      <c r="A12" s="220" t="s">
        <v>259</v>
      </c>
      <c r="B12" s="44"/>
      <c r="F12" s="358" t="s">
        <v>174</v>
      </c>
      <c r="G12" s="358"/>
      <c r="H12" s="358"/>
      <c r="I12" s="358"/>
      <c r="J12" s="358"/>
      <c r="K12" s="359">
        <v>123</v>
      </c>
      <c r="L12" s="359"/>
      <c r="M12" s="359"/>
      <c r="N12" s="359"/>
    </row>
    <row r="13" spans="1:38" ht="3.75" customHeight="1">
      <c r="A13" s="220"/>
      <c r="B13" s="44"/>
      <c r="F13" s="358"/>
      <c r="G13" s="358"/>
      <c r="H13" s="358"/>
      <c r="I13" s="358"/>
      <c r="J13" s="358"/>
      <c r="K13" s="359"/>
      <c r="L13" s="359"/>
      <c r="M13" s="359"/>
      <c r="N13" s="359"/>
    </row>
    <row r="14" spans="1:38" ht="14.25" customHeight="1">
      <c r="A14" s="206" t="s">
        <v>164</v>
      </c>
      <c r="B14" s="44"/>
      <c r="F14" s="358" t="s">
        <v>145</v>
      </c>
      <c r="G14" s="358"/>
      <c r="H14" s="358"/>
      <c r="I14" s="358"/>
      <c r="J14" s="358"/>
      <c r="K14" s="358"/>
      <c r="L14" s="358"/>
      <c r="M14" s="358"/>
      <c r="N14" s="358"/>
    </row>
    <row r="15" spans="1:38" ht="2.25" customHeight="1">
      <c r="A15" s="206"/>
      <c r="B15" s="44"/>
      <c r="F15" s="358"/>
      <c r="G15" s="358"/>
      <c r="H15" s="358"/>
      <c r="I15" s="358"/>
      <c r="J15" s="358"/>
      <c r="K15" s="358"/>
      <c r="L15" s="358"/>
      <c r="M15" s="358"/>
      <c r="N15" s="358"/>
    </row>
    <row r="16" spans="1:38" ht="14.25" customHeight="1">
      <c r="A16" s="234" t="s">
        <v>165</v>
      </c>
      <c r="B16" s="44"/>
      <c r="F16" s="358" t="s">
        <v>274</v>
      </c>
      <c r="G16" s="358"/>
      <c r="H16" s="358"/>
      <c r="I16" s="358"/>
      <c r="J16" s="358"/>
      <c r="K16" s="359" t="s">
        <v>1372</v>
      </c>
      <c r="L16" s="359"/>
      <c r="M16" s="359"/>
      <c r="N16" s="359"/>
    </row>
    <row r="17" spans="1:49" ht="3" customHeight="1">
      <c r="A17" s="213"/>
      <c r="B17" s="44"/>
      <c r="F17" s="358"/>
      <c r="G17" s="358"/>
      <c r="H17" s="358"/>
      <c r="I17" s="358"/>
      <c r="J17" s="358"/>
      <c r="K17" s="359"/>
      <c r="L17" s="359"/>
      <c r="M17" s="359"/>
      <c r="N17" s="359"/>
    </row>
    <row r="18" spans="1:49" s="15" customFormat="1" ht="14.25" customHeight="1">
      <c r="A18" s="206"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06"/>
      <c r="B19" s="44"/>
    </row>
    <row r="20" spans="1:49">
      <c r="A20" s="234" t="s">
        <v>167</v>
      </c>
      <c r="B20" s="44"/>
    </row>
    <row r="21" spans="1:49" ht="4.5" customHeight="1">
      <c r="A21" s="213"/>
      <c r="B21" s="44"/>
    </row>
    <row r="22" spans="1:49" ht="13.9" customHeight="1">
      <c r="A22" s="363" t="s">
        <v>1366</v>
      </c>
      <c r="B22" s="46"/>
      <c r="C22" s="16"/>
      <c r="D22" s="16"/>
      <c r="E22" s="16"/>
    </row>
    <row r="23" spans="1:49" ht="14.25" customHeight="1">
      <c r="A23" s="364"/>
      <c r="B23" s="44"/>
    </row>
    <row r="24" spans="1:49" ht="13.9" customHeight="1">
      <c r="A24" s="221"/>
      <c r="B24" s="44"/>
    </row>
    <row r="25" spans="1:49" ht="14.25" customHeight="1">
      <c r="A25" s="221"/>
      <c r="B25" s="44"/>
    </row>
    <row r="26" spans="1:49" ht="14.25" customHeight="1">
      <c r="A26" s="208"/>
      <c r="B26" s="44"/>
    </row>
    <row r="27" spans="1:49" ht="14.25" customHeight="1">
      <c r="A27" s="208"/>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p4cDlANV/yjy2HhlejkVrpQeCxlYPrU9PqKaxSdZq+HrFkMf2d5aHro1HBLVNVj3jDp0IfjHj1oeCKYU7e9WOQ==" saltValue="d0//pU+t8ykxk2zxGvMz1Q=="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2baMDanLpVJ4llfCjc/KRhNIx1CafwKbr5LfgkqpxNIw18MKQz5GGXHt23GNIo7hQAA+qvDW4wwhtY9HkQHooA==" saltValue="p7V87S61iXOuFZ7uD2ovTQ=="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Props1.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2.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ECE592-B35E-4FEF-ABE7-8AB05A466C3E}">
  <ds:schemaRefs>
    <ds:schemaRef ds:uri="http://schemas.microsoft.com/DataMashup"/>
  </ds:schemaRefs>
</ds:datastoreItem>
</file>

<file path=customXml/itemProps4.xml><?xml version="1.0" encoding="utf-8"?>
<ds:datastoreItem xmlns:ds="http://schemas.openxmlformats.org/officeDocument/2006/customXml" ds:itemID="{DFBE866A-5624-48F2-A482-763F66EAD3A4}">
  <ds:schemaRef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terms/"/>
    <ds:schemaRef ds:uri="http://www.w3.org/XML/1998/namespace"/>
    <ds:schemaRef ds:uri="a39e57ef-928e-48af-a876-9847393d86d6"/>
    <ds:schemaRef ds:uri="3eb71fc0-4b16-438a-8a83-6af8750b73d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