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BEL\Desktop\AÑO 2024\COLOMBIA COMPRA EFICIENTE\CONTRATOS ADJUDICADOS\45. HABITAD\"/>
    </mc:Choice>
  </mc:AlternateContent>
  <xr:revisionPtr revIDLastSave="0" documentId="8_{939A4848-EB9F-4BA6-9D66-AE66414A3654}" xr6:coauthVersionLast="47" xr6:coauthVersionMax="47" xr10:uidLastSave="{00000000-0000-0000-0000-000000000000}"/>
  <bookViews>
    <workbookView xWindow="-120" yWindow="-120" windowWidth="29040" windowHeight="15720" tabRatio="698" activeTab="5" xr2:uid="{00000000-000D-0000-FFFF-FFFF00000000}"/>
  </bookViews>
  <sheets>
    <sheet name="MES 4X2" sheetId="4" r:id="rId1"/>
    <sheet name="MES DOBLE CABINA " sheetId="14" r:id="rId2"/>
    <sheet name="MICROBUS DIA " sheetId="17" r:id="rId3"/>
    <sheet name="DIA 4X2" sheetId="20" r:id="rId4"/>
    <sheet name="DIA DOBLE CABINA RURAL " sheetId="19" r:id="rId5"/>
    <sheet name="DIA  4X2 RURAL " sheetId="21" r:id="rId6"/>
  </sheets>
  <definedNames>
    <definedName name="factorutlidad">#REF!</definedName>
    <definedName name="POEGRUPO1II">#REF!</definedName>
    <definedName name="POEGRUPO1III">#REF!</definedName>
    <definedName name="Valorinicial">#REF!</definedName>
    <definedName name="VLORINI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21" l="1"/>
  <c r="C22" i="21"/>
  <c r="C23" i="21" s="1"/>
  <c r="C18" i="21"/>
  <c r="C10" i="21"/>
  <c r="C9" i="21"/>
  <c r="C8" i="21"/>
  <c r="C7" i="21"/>
  <c r="C6" i="21"/>
  <c r="C5" i="21"/>
  <c r="C4" i="21"/>
  <c r="C14" i="21"/>
  <c r="C32" i="21"/>
  <c r="C31" i="21"/>
  <c r="C30" i="21"/>
  <c r="C29" i="21"/>
  <c r="C32" i="19"/>
  <c r="C25" i="19"/>
  <c r="C23" i="19"/>
  <c r="C19" i="19"/>
  <c r="C15" i="19"/>
  <c r="C17" i="19"/>
  <c r="C14" i="19"/>
  <c r="C35" i="20"/>
  <c r="C32" i="20"/>
  <c r="C27" i="20"/>
  <c r="C25" i="20"/>
  <c r="C23" i="20"/>
  <c r="C19" i="20"/>
  <c r="C15" i="20"/>
  <c r="C22" i="20"/>
  <c r="C18" i="20"/>
  <c r="C17" i="20"/>
  <c r="C14" i="20"/>
  <c r="C13" i="20"/>
  <c r="C12" i="20"/>
  <c r="C10" i="20"/>
  <c r="C9" i="20"/>
  <c r="C8" i="20"/>
  <c r="C7" i="20"/>
  <c r="C6" i="20"/>
  <c r="C5" i="20"/>
  <c r="C4" i="20"/>
  <c r="C31" i="20"/>
  <c r="C30" i="20"/>
  <c r="C29" i="20"/>
  <c r="C35" i="17"/>
  <c r="C34" i="14"/>
  <c r="C23" i="17"/>
  <c r="C24" i="17" s="1"/>
  <c r="C18" i="17"/>
  <c r="C15" i="17"/>
  <c r="C19" i="14"/>
  <c r="C31" i="14"/>
  <c r="C30" i="14"/>
  <c r="C29" i="14"/>
  <c r="C32" i="14"/>
  <c r="C34" i="4"/>
  <c r="C35" i="4"/>
  <c r="C32" i="4"/>
  <c r="C27" i="4"/>
  <c r="C25" i="4"/>
  <c r="C29" i="4"/>
  <c r="C7" i="14"/>
  <c r="C6" i="14"/>
  <c r="C23" i="4"/>
  <c r="C19" i="4"/>
  <c r="C7" i="4"/>
  <c r="C6" i="4"/>
  <c r="C5" i="4"/>
  <c r="C22" i="19"/>
  <c r="C18" i="19"/>
  <c r="C13" i="19"/>
  <c r="C12" i="19"/>
  <c r="C11" i="19"/>
  <c r="C10" i="19"/>
  <c r="C9" i="19"/>
  <c r="C8" i="19"/>
  <c r="C7" i="19"/>
  <c r="C6" i="19"/>
  <c r="C5" i="19"/>
  <c r="C4" i="19"/>
  <c r="C31" i="19"/>
  <c r="C30" i="19"/>
  <c r="C29" i="19"/>
  <c r="C19" i="17"/>
  <c r="C5" i="17"/>
  <c r="C4" i="17"/>
  <c r="C14" i="17"/>
  <c r="C13" i="17"/>
  <c r="C12" i="17"/>
  <c r="C11" i="17"/>
  <c r="C10" i="17"/>
  <c r="C9" i="17"/>
  <c r="C8" i="17"/>
  <c r="C7" i="17"/>
  <c r="C6" i="17"/>
  <c r="C32" i="17"/>
  <c r="C31" i="17"/>
  <c r="C30" i="17"/>
  <c r="C8" i="14"/>
  <c r="C5" i="14"/>
  <c r="C4" i="14"/>
  <c r="C9" i="14"/>
  <c r="C19" i="21" l="1"/>
  <c r="C15" i="21"/>
  <c r="C20" i="17"/>
  <c r="C26" i="17" s="1"/>
  <c r="C27" i="19"/>
  <c r="C33" i="17"/>
  <c r="C16" i="17"/>
  <c r="C23" i="14"/>
  <c r="C15" i="14"/>
  <c r="C25" i="14" s="1"/>
  <c r="C31" i="4"/>
  <c r="C30" i="4"/>
  <c r="C8" i="4"/>
  <c r="C15" i="4" s="1"/>
  <c r="C25" i="21" l="1"/>
  <c r="C27" i="21" s="1"/>
  <c r="C34" i="21" s="1"/>
  <c r="C35" i="21" s="1"/>
  <c r="C34" i="19"/>
  <c r="C35" i="19" s="1"/>
  <c r="C34" i="20"/>
  <c r="C28" i="17"/>
  <c r="C36" i="17" s="1"/>
  <c r="C27" i="14"/>
  <c r="C35" i="14" s="1"/>
</calcChain>
</file>

<file path=xl/sharedStrings.xml><?xml version="1.0" encoding="utf-8"?>
<sst xmlns="http://schemas.openxmlformats.org/spreadsheetml/2006/main" count="199" uniqueCount="51">
  <si>
    <t>1.</t>
  </si>
  <si>
    <t>Parqueadero mensual fijo</t>
  </si>
  <si>
    <t>Imprevistos (Pinchadas, colisiones leves, etc..)</t>
  </si>
  <si>
    <t>SUBTOTAL COSTOS FIJOS</t>
  </si>
  <si>
    <t>COSTOS VARIABLES</t>
  </si>
  <si>
    <t>Combustible</t>
  </si>
  <si>
    <t xml:space="preserve">Respons. civil extracontraactual </t>
  </si>
  <si>
    <t>Respons. civil contractual</t>
  </si>
  <si>
    <t>Seguro Obligatorio</t>
  </si>
  <si>
    <t>Revisiones  Técnico - mecánicas anual</t>
  </si>
  <si>
    <t>Revisiones preventivas bimensuales</t>
  </si>
  <si>
    <t>Rodamientos</t>
  </si>
  <si>
    <t>GPS</t>
  </si>
  <si>
    <t>Comunicaciones</t>
  </si>
  <si>
    <t>Lavado y proteccion</t>
  </si>
  <si>
    <t>KILOMETROS MES</t>
  </si>
  <si>
    <t>Mantenimiento preventivo y correctivo</t>
  </si>
  <si>
    <t>SUBTOTAL COSTOS VARIABLES</t>
  </si>
  <si>
    <t>CONDUCTOR</t>
  </si>
  <si>
    <t>SUBTOTAL COSTOS CONDUCTOR</t>
  </si>
  <si>
    <t>COSTO DEL SERVICIO U OBRA:….......................................................</t>
  </si>
  <si>
    <t>VALOR FINAL MENSUAL VEHICULO (COSTO SERVICIO U OBRA)</t>
  </si>
  <si>
    <t>Utilidad sobre la inversion vehiculo</t>
  </si>
  <si>
    <t>Pago mensual conductor, incluye todo costo relacionado</t>
  </si>
  <si>
    <t>VALOR OFERTADO EVENTO ….....................................................</t>
  </si>
  <si>
    <t>+ ESTAMPILLAS DISTRITALES BTA (3,6%)...................................</t>
  </si>
  <si>
    <t>+ IMPUESTO RETEFUENTE  (3,5%)........................................</t>
  </si>
  <si>
    <t>+ IMPUESTO RETEICA  (4,14/1000%)........................................</t>
  </si>
  <si>
    <t xml:space="preserve">TOTAL DE IMPUESTOS </t>
  </si>
  <si>
    <t xml:space="preserve">TOTAL DE COSTOS Y GASTOS DE LA OPERACIÓN </t>
  </si>
  <si>
    <t>+ UTILIDAD UT DESPUES DE IMPUESTOS…..................................</t>
  </si>
  <si>
    <t>CAMPEROS / CAMIONETA 4X2</t>
  </si>
  <si>
    <t xml:space="preserve">ESTRUCTURA DE COSTOS, DETERMINACION DEL PRECIO TARIFA MES / ZONA URBANA </t>
  </si>
  <si>
    <t xml:space="preserve">ITEM 1 </t>
  </si>
  <si>
    <t xml:space="preserve">MICROBUS DIA </t>
  </si>
  <si>
    <t>ESTRUCTURA DE COSTOS, DETERMINACION DEL PRECIO TARIFA DIA / ZONA URBANO</t>
  </si>
  <si>
    <t>ITEM 5</t>
  </si>
  <si>
    <t>ITEM 4</t>
  </si>
  <si>
    <t>ITEM 2</t>
  </si>
  <si>
    <t>DOBLE CABINA 4X2</t>
  </si>
  <si>
    <t>ITEM 3</t>
  </si>
  <si>
    <t>ITEM 6</t>
  </si>
  <si>
    <t>Parqueadero dial fijo</t>
  </si>
  <si>
    <t>VALOR FINAL DIA VEHICULO (COSTO SERVICIO U OBRA)</t>
  </si>
  <si>
    <t>Pago dia conductor, incluye todo costo relacionado</t>
  </si>
  <si>
    <t xml:space="preserve">Revisiones  Técnico - mecánicas </t>
  </si>
  <si>
    <t>Parqueadero dia fijo</t>
  </si>
  <si>
    <t xml:space="preserve">ESTRUCTURA DE COSTOS, DETERMINACION DEL PRECIO TARIFA DIA / ZONA URBANA </t>
  </si>
  <si>
    <t>Revisiones  Técnico - mecánicas</t>
  </si>
  <si>
    <t>ESTRUCTURA DE COSTOS, DETERMINACION DEL PRECIO TARIFA DIA / ZONA RURAL</t>
  </si>
  <si>
    <t xml:space="preserve">ESTRUCTURA DE COSTOS, DETERMINACION DEL PRECIO TARIFA DIA / ZONA RURAL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</si>
</sst>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??_);_(@_)"/>
    <numFmt numFmtId="166" formatCode="_-&quot;$&quot;* #,##0_-;\-&quot;$&quot;* #,##0_-;_-&quot;$&quot;* &quot;-&quot;??_-;_-@_-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Tahoma"/>
      <family val="2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Fill="1"/>
    <xf numFmtId="3" fontId="5" fillId="0" borderId="0" xfId="0" applyNumberFormat="1" applyFont="1" applyFill="1"/>
    <xf numFmtId="0" fontId="5" fillId="0" borderId="0" xfId="0" applyFont="1"/>
    <xf numFmtId="0" fontId="6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5" fontId="5" fillId="0" borderId="1" xfId="1" applyNumberFormat="1" applyFont="1" applyFill="1" applyBorder="1"/>
    <xf numFmtId="0" fontId="5" fillId="0" borderId="1" xfId="0" applyFont="1" applyFill="1" applyBorder="1" applyAlignment="1">
      <alignment horizontal="left"/>
    </xf>
    <xf numFmtId="3" fontId="5" fillId="0" borderId="1" xfId="0" applyNumberFormat="1" applyFont="1" applyFill="1" applyBorder="1"/>
    <xf numFmtId="0" fontId="6" fillId="0" borderId="1" xfId="0" applyFont="1" applyFill="1" applyBorder="1" applyAlignment="1">
      <alignment horizontal="left"/>
    </xf>
    <xf numFmtId="165" fontId="6" fillId="4" borderId="1" xfId="1" applyNumberFormat="1" applyFont="1" applyFill="1" applyBorder="1"/>
    <xf numFmtId="3" fontId="6" fillId="0" borderId="1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6" fillId="4" borderId="1" xfId="0" applyNumberFormat="1" applyFont="1" applyFill="1" applyBorder="1" applyAlignment="1"/>
    <xf numFmtId="3" fontId="5" fillId="0" borderId="1" xfId="0" applyNumberFormat="1" applyFont="1" applyFill="1" applyBorder="1" applyAlignment="1">
      <alignment wrapText="1"/>
    </xf>
    <xf numFmtId="3" fontId="6" fillId="4" borderId="2" xfId="0" applyNumberFormat="1" applyFont="1" applyFill="1" applyBorder="1" applyAlignment="1"/>
    <xf numFmtId="3" fontId="6" fillId="4" borderId="3" xfId="0" applyNumberFormat="1" applyFont="1" applyFill="1" applyBorder="1" applyAlignment="1"/>
    <xf numFmtId="165" fontId="5" fillId="0" borderId="0" xfId="0" applyNumberFormat="1" applyFont="1"/>
    <xf numFmtId="9" fontId="5" fillId="0" borderId="0" xfId="2" applyFont="1" applyAlignment="1">
      <alignment horizontal="center"/>
    </xf>
    <xf numFmtId="164" fontId="5" fillId="0" borderId="0" xfId="1" applyFont="1"/>
    <xf numFmtId="44" fontId="5" fillId="0" borderId="0" xfId="0" applyNumberFormat="1" applyFont="1"/>
    <xf numFmtId="166" fontId="5" fillId="0" borderId="0" xfId="1" applyNumberFormat="1" applyFont="1"/>
    <xf numFmtId="0" fontId="6" fillId="4" borderId="1" xfId="0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 wrapText="1"/>
    </xf>
    <xf numFmtId="3" fontId="5" fillId="0" borderId="0" xfId="0" applyNumberFormat="1" applyFont="1"/>
    <xf numFmtId="166" fontId="5" fillId="0" borderId="0" xfId="1" applyNumberFormat="1" applyFont="1" applyAlignment="1">
      <alignment horizontal="center"/>
    </xf>
    <xf numFmtId="9" fontId="5" fillId="0" borderId="0" xfId="2" applyFont="1" applyAlignment="1">
      <alignment horizontal="left"/>
    </xf>
    <xf numFmtId="9" fontId="6" fillId="0" borderId="0" xfId="2" applyFont="1" applyAlignment="1">
      <alignment horizontal="left"/>
    </xf>
    <xf numFmtId="49" fontId="6" fillId="0" borderId="0" xfId="2" applyNumberFormat="1" applyFont="1" applyAlignment="1">
      <alignment horizontal="left"/>
    </xf>
    <xf numFmtId="49" fontId="5" fillId="0" borderId="0" xfId="2" applyNumberFormat="1" applyFont="1" applyAlignment="1">
      <alignment horizontal="left"/>
    </xf>
    <xf numFmtId="166" fontId="5" fillId="0" borderId="0" xfId="0" applyNumberFormat="1" applyFont="1"/>
    <xf numFmtId="49" fontId="6" fillId="2" borderId="0" xfId="2" applyNumberFormat="1" applyFont="1" applyFill="1" applyAlignment="1">
      <alignment horizontal="left"/>
    </xf>
    <xf numFmtId="166" fontId="5" fillId="2" borderId="0" xfId="1" applyNumberFormat="1" applyFont="1" applyFill="1" applyAlignment="1">
      <alignment horizontal="center"/>
    </xf>
    <xf numFmtId="9" fontId="5" fillId="0" borderId="0" xfId="2" applyNumberFormat="1" applyFont="1" applyAlignment="1">
      <alignment horizontal="left"/>
    </xf>
    <xf numFmtId="164" fontId="6" fillId="0" borderId="0" xfId="2" applyNumberFormat="1" applyFont="1" applyAlignment="1">
      <alignment horizontal="center"/>
    </xf>
    <xf numFmtId="0" fontId="6" fillId="0" borderId="0" xfId="0" applyFont="1" applyFill="1" applyAlignment="1">
      <alignment horizontal="center" wrapText="1"/>
    </xf>
    <xf numFmtId="12" fontId="5" fillId="0" borderId="0" xfId="0" applyNumberFormat="1" applyFont="1"/>
    <xf numFmtId="166" fontId="6" fillId="0" borderId="0" xfId="1" applyNumberFormat="1" applyFont="1" applyAlignment="1">
      <alignment horizontal="center"/>
    </xf>
  </cellXfs>
  <cellStyles count="108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Moneda" xfId="1" builtinId="4"/>
    <cellStyle name="Moneda 4" xfId="107" xr:uid="{00000000-0005-0000-0000-000069000000}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zoomScale="78" zoomScaleNormal="75" zoomScalePageLayoutView="75" workbookViewId="0">
      <pane xSplit="1" ySplit="1" topLeftCell="B2" activePane="bottomRight" state="frozen"/>
      <selection activeCell="C5" sqref="C5"/>
      <selection pane="topRight" activeCell="C5" sqref="C5"/>
      <selection pane="bottomLeft" activeCell="C5" sqref="C5"/>
      <selection pane="bottomRight" activeCell="B1" sqref="B1:C39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32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31</v>
      </c>
      <c r="C3" s="5" t="s">
        <v>33</v>
      </c>
    </row>
    <row r="4" spans="1:11" x14ac:dyDescent="0.2">
      <c r="A4" s="6"/>
      <c r="B4" s="6" t="s">
        <v>1</v>
      </c>
      <c r="C4" s="7">
        <v>60000</v>
      </c>
    </row>
    <row r="5" spans="1:11" x14ac:dyDescent="0.2">
      <c r="A5" s="8"/>
      <c r="B5" s="9" t="s">
        <v>8</v>
      </c>
      <c r="C5" s="7">
        <f>650000/12</f>
        <v>54166.666666666664</v>
      </c>
    </row>
    <row r="6" spans="1:11" x14ac:dyDescent="0.2">
      <c r="A6" s="6"/>
      <c r="B6" s="9" t="s">
        <v>6</v>
      </c>
      <c r="C6" s="7">
        <f>371000/12</f>
        <v>30916.666666666668</v>
      </c>
    </row>
    <row r="7" spans="1:11" x14ac:dyDescent="0.2">
      <c r="A7" s="6"/>
      <c r="B7" s="9" t="s">
        <v>7</v>
      </c>
      <c r="C7" s="7">
        <f>371000/12</f>
        <v>30916.666666666668</v>
      </c>
    </row>
    <row r="8" spans="1:11" x14ac:dyDescent="0.2">
      <c r="A8" s="6"/>
      <c r="B8" s="9" t="s">
        <v>9</v>
      </c>
      <c r="C8" s="7">
        <f>250000/12</f>
        <v>20833.333333333332</v>
      </c>
    </row>
    <row r="9" spans="1:11" x14ac:dyDescent="0.2">
      <c r="A9" s="6"/>
      <c r="B9" s="9" t="s">
        <v>10</v>
      </c>
      <c r="C9" s="7">
        <v>833.33333333333337</v>
      </c>
    </row>
    <row r="10" spans="1:11" x14ac:dyDescent="0.2">
      <c r="A10" s="6"/>
      <c r="B10" s="9" t="s">
        <v>11</v>
      </c>
      <c r="C10" s="7">
        <v>50000</v>
      </c>
      <c r="G10" s="20"/>
      <c r="I10" s="21"/>
      <c r="J10" s="20"/>
      <c r="K10" s="20"/>
    </row>
    <row r="11" spans="1:11" x14ac:dyDescent="0.2">
      <c r="A11" s="6"/>
      <c r="B11" s="9" t="s">
        <v>12</v>
      </c>
      <c r="C11" s="7">
        <v>20000</v>
      </c>
      <c r="G11" s="20"/>
      <c r="I11" s="37"/>
      <c r="J11" s="20"/>
      <c r="K11" s="20"/>
    </row>
    <row r="12" spans="1:11" x14ac:dyDescent="0.2">
      <c r="A12" s="6"/>
      <c r="B12" s="9" t="s">
        <v>13</v>
      </c>
      <c r="C12" s="7">
        <v>36000</v>
      </c>
      <c r="K12" s="20"/>
    </row>
    <row r="13" spans="1:11" x14ac:dyDescent="0.2">
      <c r="A13" s="6"/>
      <c r="B13" s="9" t="s">
        <v>2</v>
      </c>
      <c r="C13" s="7">
        <v>60000</v>
      </c>
      <c r="G13" s="22"/>
      <c r="H13" s="22"/>
      <c r="I13" s="22"/>
      <c r="J13" s="22"/>
    </row>
    <row r="14" spans="1:11" x14ac:dyDescent="0.2">
      <c r="A14" s="6"/>
      <c r="B14" s="9" t="s">
        <v>22</v>
      </c>
      <c r="C14" s="7">
        <v>500000</v>
      </c>
      <c r="G14" s="22"/>
      <c r="H14" s="22"/>
      <c r="I14" s="22"/>
      <c r="J14" s="22"/>
    </row>
    <row r="15" spans="1:11" x14ac:dyDescent="0.2">
      <c r="A15" s="10"/>
      <c r="B15" s="23" t="s">
        <v>3</v>
      </c>
      <c r="C15" s="11">
        <f>SUM(C4:C14)</f>
        <v>863666.66666666663</v>
      </c>
      <c r="G15" s="22"/>
      <c r="H15" s="22"/>
      <c r="I15" s="22"/>
      <c r="J15" s="22"/>
    </row>
    <row r="16" spans="1:11" x14ac:dyDescent="0.2">
      <c r="A16" s="4">
        <v>2</v>
      </c>
      <c r="B16" s="5" t="s">
        <v>4</v>
      </c>
      <c r="G16" s="20"/>
      <c r="I16" s="22"/>
    </row>
    <row r="17" spans="1:9" x14ac:dyDescent="0.2">
      <c r="A17" s="12"/>
      <c r="B17" s="9" t="s">
        <v>5</v>
      </c>
      <c r="C17" s="7">
        <v>600000</v>
      </c>
      <c r="E17" s="18"/>
      <c r="G17" s="20"/>
      <c r="I17" s="22"/>
    </row>
    <row r="18" spans="1:9" x14ac:dyDescent="0.2">
      <c r="A18" s="13"/>
      <c r="B18" s="15" t="s">
        <v>16</v>
      </c>
      <c r="C18" s="7">
        <v>200000</v>
      </c>
      <c r="E18" s="18"/>
      <c r="I18" s="22"/>
    </row>
    <row r="19" spans="1:9" x14ac:dyDescent="0.2">
      <c r="A19" s="13"/>
      <c r="B19" s="24" t="s">
        <v>17</v>
      </c>
      <c r="C19" s="17">
        <f>+C18+C17</f>
        <v>800000</v>
      </c>
      <c r="E19" s="18"/>
      <c r="G19" s="20"/>
    </row>
    <row r="20" spans="1:9" hidden="1" x14ac:dyDescent="0.2">
      <c r="A20" s="13"/>
      <c r="B20" s="16" t="s">
        <v>15</v>
      </c>
      <c r="C20" s="17">
        <v>2500</v>
      </c>
    </row>
    <row r="21" spans="1:9" x14ac:dyDescent="0.2">
      <c r="A21" s="4">
        <v>3</v>
      </c>
      <c r="B21" s="5" t="s">
        <v>18</v>
      </c>
    </row>
    <row r="22" spans="1:9" x14ac:dyDescent="0.2">
      <c r="A22" s="12"/>
      <c r="B22" s="9" t="s">
        <v>23</v>
      </c>
      <c r="C22" s="7">
        <v>2000000</v>
      </c>
    </row>
    <row r="23" spans="1:9" x14ac:dyDescent="0.2">
      <c r="A23" s="13"/>
      <c r="B23" s="24" t="s">
        <v>19</v>
      </c>
      <c r="C23" s="14">
        <f>+C22</f>
        <v>2000000</v>
      </c>
    </row>
    <row r="25" spans="1:9" x14ac:dyDescent="0.2">
      <c r="B25" s="24" t="s">
        <v>21</v>
      </c>
      <c r="C25" s="17">
        <f>+C15+C19+C23</f>
        <v>3663666.6666666665</v>
      </c>
    </row>
    <row r="26" spans="1:9" x14ac:dyDescent="0.2">
      <c r="A26" s="19"/>
      <c r="B26" s="19"/>
      <c r="C26" s="19"/>
      <c r="D26" s="18"/>
      <c r="E26" s="25"/>
    </row>
    <row r="27" spans="1:9" s="19" customFormat="1" x14ac:dyDescent="0.2">
      <c r="B27" s="28" t="s">
        <v>20</v>
      </c>
      <c r="C27" s="38">
        <f>+C25</f>
        <v>3663666.6666666665</v>
      </c>
      <c r="D27" s="27"/>
    </row>
    <row r="28" spans="1:9" s="19" customFormat="1" x14ac:dyDescent="0.2">
      <c r="B28" s="28"/>
      <c r="C28" s="26"/>
      <c r="D28" s="27"/>
    </row>
    <row r="29" spans="1:9" s="19" customFormat="1" x14ac:dyDescent="0.2">
      <c r="B29" s="29" t="s">
        <v>25</v>
      </c>
      <c r="C29" s="26">
        <f>C39*3.6%</f>
        <v>155405.99160000001</v>
      </c>
      <c r="D29" s="27"/>
    </row>
    <row r="30" spans="1:9" s="19" customFormat="1" x14ac:dyDescent="0.2">
      <c r="B30" s="29" t="s">
        <v>26</v>
      </c>
      <c r="C30" s="26">
        <f>C39*3.5%</f>
        <v>151089.15849999999</v>
      </c>
      <c r="D30" s="27"/>
    </row>
    <row r="31" spans="1:9" s="19" customFormat="1" x14ac:dyDescent="0.2">
      <c r="B31" s="29" t="s">
        <v>27</v>
      </c>
      <c r="C31" s="26">
        <f>C39*4.14/1000</f>
        <v>17871.689033999999</v>
      </c>
      <c r="D31" s="27"/>
    </row>
    <row r="32" spans="1:9" s="19" customFormat="1" x14ac:dyDescent="0.2">
      <c r="B32" s="24" t="s">
        <v>28</v>
      </c>
      <c r="C32" s="24">
        <f>C29+C30+C31</f>
        <v>324366.83913399995</v>
      </c>
      <c r="D32" s="27"/>
    </row>
    <row r="33" spans="1:7" x14ac:dyDescent="0.2">
      <c r="A33" s="19"/>
      <c r="B33" s="29"/>
      <c r="C33" s="26"/>
      <c r="D33" s="34"/>
    </row>
    <row r="34" spans="1:7" x14ac:dyDescent="0.2">
      <c r="A34" s="19"/>
      <c r="B34" s="29" t="s">
        <v>29</v>
      </c>
      <c r="C34" s="26">
        <f>+C27+C32</f>
        <v>3988033.5058006663</v>
      </c>
      <c r="D34" s="34"/>
    </row>
    <row r="35" spans="1:7" x14ac:dyDescent="0.2">
      <c r="A35" s="19"/>
      <c r="B35" s="32" t="s">
        <v>30</v>
      </c>
      <c r="C35" s="33">
        <f>C39-C34</f>
        <v>328799.59419933334</v>
      </c>
      <c r="D35" s="34"/>
      <c r="E35" s="31"/>
      <c r="F35" s="31"/>
      <c r="G35" s="18"/>
    </row>
    <row r="36" spans="1:7" x14ac:dyDescent="0.2">
      <c r="A36" s="19"/>
      <c r="B36" s="30"/>
      <c r="C36" s="26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28" t="s">
        <v>24</v>
      </c>
      <c r="C39" s="35">
        <v>4316833.0999999996</v>
      </c>
    </row>
    <row r="40" spans="1:7" x14ac:dyDescent="0.2">
      <c r="A40" s="19"/>
      <c r="B40" s="19"/>
      <c r="C40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570F-B717-405B-B4F5-CE3EFB53B31C}">
  <sheetPr>
    <pageSetUpPr fitToPage="1"/>
  </sheetPr>
  <dimension ref="A1:K40"/>
  <sheetViews>
    <sheetView zoomScale="78" zoomScaleNormal="75" zoomScalePageLayoutView="7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" sqref="B1:C39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32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39</v>
      </c>
      <c r="C3" s="5" t="s">
        <v>38</v>
      </c>
    </row>
    <row r="4" spans="1:11" x14ac:dyDescent="0.2">
      <c r="A4" s="6"/>
      <c r="B4" s="6" t="s">
        <v>1</v>
      </c>
      <c r="C4" s="7">
        <f>80000</f>
        <v>80000</v>
      </c>
    </row>
    <row r="5" spans="1:11" x14ac:dyDescent="0.2">
      <c r="A5" s="8"/>
      <c r="B5" s="9" t="s">
        <v>8</v>
      </c>
      <c r="C5" s="7">
        <f>900000/12</f>
        <v>75000</v>
      </c>
    </row>
    <row r="6" spans="1:11" x14ac:dyDescent="0.2">
      <c r="A6" s="6"/>
      <c r="B6" s="9" t="s">
        <v>6</v>
      </c>
      <c r="C6" s="7">
        <f>371000/12</f>
        <v>30916.666666666668</v>
      </c>
    </row>
    <row r="7" spans="1:11" x14ac:dyDescent="0.2">
      <c r="A7" s="6"/>
      <c r="B7" s="9" t="s">
        <v>7</v>
      </c>
      <c r="C7" s="7">
        <f>371000/12</f>
        <v>30916.666666666668</v>
      </c>
    </row>
    <row r="8" spans="1:11" x14ac:dyDescent="0.2">
      <c r="A8" s="6"/>
      <c r="B8" s="9" t="s">
        <v>9</v>
      </c>
      <c r="C8" s="7">
        <f>300000/12</f>
        <v>25000</v>
      </c>
    </row>
    <row r="9" spans="1:11" x14ac:dyDescent="0.2">
      <c r="A9" s="6"/>
      <c r="B9" s="9" t="s">
        <v>10</v>
      </c>
      <c r="C9" s="7">
        <f>8000/12</f>
        <v>666.66666666666663</v>
      </c>
    </row>
    <row r="10" spans="1:11" x14ac:dyDescent="0.2">
      <c r="A10" s="6"/>
      <c r="B10" s="9" t="s">
        <v>11</v>
      </c>
      <c r="C10" s="7">
        <v>50000</v>
      </c>
      <c r="G10" s="20"/>
      <c r="I10" s="21"/>
      <c r="J10" s="20"/>
      <c r="K10" s="20"/>
    </row>
    <row r="11" spans="1:11" x14ac:dyDescent="0.2">
      <c r="A11" s="6"/>
      <c r="B11" s="9" t="s">
        <v>12</v>
      </c>
      <c r="C11" s="7">
        <v>20000</v>
      </c>
      <c r="G11" s="20"/>
      <c r="I11" s="21"/>
      <c r="J11" s="20"/>
      <c r="K11" s="20"/>
    </row>
    <row r="12" spans="1:11" x14ac:dyDescent="0.2">
      <c r="A12" s="6"/>
      <c r="B12" s="9" t="s">
        <v>13</v>
      </c>
      <c r="C12" s="7">
        <v>36000</v>
      </c>
      <c r="K12" s="20"/>
    </row>
    <row r="13" spans="1:11" x14ac:dyDescent="0.2">
      <c r="A13" s="6"/>
      <c r="B13" s="9" t="s">
        <v>2</v>
      </c>
      <c r="C13" s="7">
        <v>60000</v>
      </c>
      <c r="G13" s="22"/>
      <c r="H13" s="22"/>
      <c r="I13" s="22"/>
      <c r="J13" s="22"/>
    </row>
    <row r="14" spans="1:11" x14ac:dyDescent="0.2">
      <c r="A14" s="6"/>
      <c r="B14" s="9" t="s">
        <v>22</v>
      </c>
      <c r="C14" s="7">
        <v>900000</v>
      </c>
      <c r="G14" s="22"/>
      <c r="H14" s="22"/>
      <c r="I14" s="22"/>
      <c r="J14" s="22"/>
    </row>
    <row r="15" spans="1:11" x14ac:dyDescent="0.2">
      <c r="A15" s="10"/>
      <c r="B15" s="23" t="s">
        <v>3</v>
      </c>
      <c r="C15" s="11">
        <f>SUM(C4:C14)</f>
        <v>1308500</v>
      </c>
      <c r="G15" s="22"/>
      <c r="H15" s="22"/>
      <c r="I15" s="22"/>
      <c r="J15" s="22"/>
    </row>
    <row r="16" spans="1:11" x14ac:dyDescent="0.2">
      <c r="A16" s="4">
        <v>2</v>
      </c>
      <c r="B16" s="5" t="s">
        <v>4</v>
      </c>
      <c r="G16" s="20"/>
      <c r="I16" s="22"/>
    </row>
    <row r="17" spans="1:9" x14ac:dyDescent="0.2">
      <c r="A17" s="12"/>
      <c r="B17" s="9" t="s">
        <v>5</v>
      </c>
      <c r="C17" s="7">
        <v>900000</v>
      </c>
      <c r="E17" s="18"/>
      <c r="G17" s="20"/>
      <c r="I17" s="22"/>
    </row>
    <row r="18" spans="1:9" x14ac:dyDescent="0.2">
      <c r="A18" s="13"/>
      <c r="B18" s="15" t="s">
        <v>16</v>
      </c>
      <c r="C18" s="7">
        <v>300000</v>
      </c>
      <c r="E18" s="18"/>
      <c r="I18" s="22"/>
    </row>
    <row r="19" spans="1:9" x14ac:dyDescent="0.2">
      <c r="A19" s="13"/>
      <c r="B19" s="24" t="s">
        <v>17</v>
      </c>
      <c r="C19" s="17">
        <f>+C18+C17</f>
        <v>1200000</v>
      </c>
      <c r="E19" s="18"/>
      <c r="G19" s="20"/>
    </row>
    <row r="20" spans="1:9" hidden="1" x14ac:dyDescent="0.2">
      <c r="A20" s="13"/>
      <c r="B20" s="16" t="s">
        <v>15</v>
      </c>
      <c r="C20" s="17">
        <v>2500</v>
      </c>
    </row>
    <row r="21" spans="1:9" x14ac:dyDescent="0.2">
      <c r="A21" s="4">
        <v>3</v>
      </c>
      <c r="B21" s="5" t="s">
        <v>18</v>
      </c>
    </row>
    <row r="22" spans="1:9" x14ac:dyDescent="0.2">
      <c r="A22" s="12"/>
      <c r="B22" s="9" t="s">
        <v>23</v>
      </c>
      <c r="C22" s="7">
        <v>2000000</v>
      </c>
    </row>
    <row r="23" spans="1:9" x14ac:dyDescent="0.2">
      <c r="A23" s="13"/>
      <c r="B23" s="24" t="s">
        <v>19</v>
      </c>
      <c r="C23" s="14">
        <f>+C22</f>
        <v>2000000</v>
      </c>
    </row>
    <row r="25" spans="1:9" x14ac:dyDescent="0.2">
      <c r="B25" s="24" t="s">
        <v>21</v>
      </c>
      <c r="C25" s="17">
        <f>+C15+C19+C23</f>
        <v>4508500</v>
      </c>
    </row>
    <row r="26" spans="1:9" x14ac:dyDescent="0.2">
      <c r="A26" s="19"/>
      <c r="B26" s="19"/>
      <c r="C26" s="19"/>
      <c r="D26" s="18"/>
      <c r="E26" s="25"/>
    </row>
    <row r="27" spans="1:9" s="19" customFormat="1" x14ac:dyDescent="0.2">
      <c r="B27" s="28" t="s">
        <v>20</v>
      </c>
      <c r="C27" s="26">
        <f>+C25</f>
        <v>4508500</v>
      </c>
      <c r="D27" s="27"/>
    </row>
    <row r="28" spans="1:9" s="19" customFormat="1" x14ac:dyDescent="0.2">
      <c r="B28" s="28"/>
      <c r="C28" s="26"/>
      <c r="D28" s="27"/>
    </row>
    <row r="29" spans="1:9" s="19" customFormat="1" x14ac:dyDescent="0.2">
      <c r="B29" s="29" t="s">
        <v>25</v>
      </c>
      <c r="C29" s="26">
        <f>C39*3.6%</f>
        <v>195133.32000000004</v>
      </c>
      <c r="D29" s="27"/>
    </row>
    <row r="30" spans="1:9" s="19" customFormat="1" x14ac:dyDescent="0.2">
      <c r="B30" s="29" t="s">
        <v>26</v>
      </c>
      <c r="C30" s="26">
        <f>C39*3.5%</f>
        <v>189712.95</v>
      </c>
      <c r="D30" s="27"/>
    </row>
    <row r="31" spans="1:9" s="19" customFormat="1" x14ac:dyDescent="0.2">
      <c r="B31" s="29" t="s">
        <v>27</v>
      </c>
      <c r="C31" s="26">
        <f>C39*4.14/1000</f>
        <v>22440.331799999996</v>
      </c>
      <c r="D31" s="27"/>
    </row>
    <row r="32" spans="1:9" s="19" customFormat="1" x14ac:dyDescent="0.2">
      <c r="B32" s="24" t="s">
        <v>28</v>
      </c>
      <c r="C32" s="24">
        <f>C29+C30+C31</f>
        <v>407286.6018</v>
      </c>
      <c r="D32" s="27"/>
    </row>
    <row r="33" spans="1:7" x14ac:dyDescent="0.2">
      <c r="A33" s="19"/>
      <c r="B33" s="29"/>
      <c r="C33" s="26"/>
      <c r="D33" s="34"/>
    </row>
    <row r="34" spans="1:7" x14ac:dyDescent="0.2">
      <c r="A34" s="19"/>
      <c r="B34" s="29" t="s">
        <v>29</v>
      </c>
      <c r="C34" s="26">
        <f>C27+C32</f>
        <v>4915786.6018000003</v>
      </c>
      <c r="D34" s="34"/>
    </row>
    <row r="35" spans="1:7" x14ac:dyDescent="0.2">
      <c r="A35" s="19"/>
      <c r="B35" s="32" t="s">
        <v>30</v>
      </c>
      <c r="C35" s="33">
        <f>C39-C34</f>
        <v>504583.3981999997</v>
      </c>
      <c r="D35" s="34"/>
      <c r="E35" s="31"/>
      <c r="F35" s="31"/>
      <c r="G35" s="18"/>
    </row>
    <row r="36" spans="1:7" x14ac:dyDescent="0.2">
      <c r="A36" s="19"/>
      <c r="B36" s="30"/>
      <c r="C36" s="26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28" t="s">
        <v>24</v>
      </c>
      <c r="C39" s="35">
        <v>5420370</v>
      </c>
    </row>
    <row r="40" spans="1:7" x14ac:dyDescent="0.2">
      <c r="A40" s="19"/>
      <c r="B40" s="19"/>
      <c r="C40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AABF4-EA4E-45AE-9C46-0E6EB42E56BF}">
  <sheetPr>
    <pageSetUpPr fitToPage="1"/>
  </sheetPr>
  <dimension ref="A1:K41"/>
  <sheetViews>
    <sheetView zoomScale="78" zoomScaleNormal="75" zoomScalePageLayoutView="7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" sqref="B1:C40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35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34</v>
      </c>
      <c r="C3" s="5" t="s">
        <v>40</v>
      </c>
    </row>
    <row r="4" spans="1:11" x14ac:dyDescent="0.2">
      <c r="A4" s="6"/>
      <c r="B4" s="6" t="s">
        <v>42</v>
      </c>
      <c r="C4" s="7">
        <f>120000/30</f>
        <v>4000</v>
      </c>
    </row>
    <row r="5" spans="1:11" x14ac:dyDescent="0.2">
      <c r="A5" s="8"/>
      <c r="B5" s="9" t="s">
        <v>8</v>
      </c>
      <c r="C5" s="7">
        <f>1000000/12/30</f>
        <v>2777.7777777777778</v>
      </c>
    </row>
    <row r="6" spans="1:11" x14ac:dyDescent="0.2">
      <c r="A6" s="6"/>
      <c r="B6" s="9" t="s">
        <v>6</v>
      </c>
      <c r="C6" s="7">
        <f>550000/12/30</f>
        <v>1527.7777777777778</v>
      </c>
    </row>
    <row r="7" spans="1:11" x14ac:dyDescent="0.2">
      <c r="A7" s="6"/>
      <c r="B7" s="9" t="s">
        <v>7</v>
      </c>
      <c r="C7" s="7">
        <f>550000/12/30</f>
        <v>1527.7777777777778</v>
      </c>
    </row>
    <row r="8" spans="1:11" x14ac:dyDescent="0.2">
      <c r="A8" s="6"/>
      <c r="B8" s="9" t="s">
        <v>45</v>
      </c>
      <c r="C8" s="7">
        <f>350000/12/30</f>
        <v>972.22222222222229</v>
      </c>
    </row>
    <row r="9" spans="1:11" x14ac:dyDescent="0.2">
      <c r="A9" s="6"/>
      <c r="B9" s="9" t="s">
        <v>10</v>
      </c>
      <c r="C9" s="7">
        <f>8000/12/30</f>
        <v>22.222222222222221</v>
      </c>
    </row>
    <row r="10" spans="1:11" x14ac:dyDescent="0.2">
      <c r="A10" s="6"/>
      <c r="B10" s="9" t="s">
        <v>11</v>
      </c>
      <c r="C10" s="7">
        <f>50000/12/30</f>
        <v>138.88888888888889</v>
      </c>
      <c r="G10" s="20"/>
      <c r="I10" s="21"/>
      <c r="J10" s="20"/>
      <c r="K10" s="20"/>
    </row>
    <row r="11" spans="1:11" x14ac:dyDescent="0.2">
      <c r="A11" s="6"/>
      <c r="B11" s="9" t="s">
        <v>12</v>
      </c>
      <c r="C11" s="7">
        <f>20000/12/30</f>
        <v>55.555555555555557</v>
      </c>
      <c r="G11" s="20"/>
      <c r="I11" s="21"/>
      <c r="J11" s="20"/>
      <c r="K11" s="20"/>
    </row>
    <row r="12" spans="1:11" x14ac:dyDescent="0.2">
      <c r="A12" s="6"/>
      <c r="B12" s="9" t="s">
        <v>13</v>
      </c>
      <c r="C12" s="7">
        <f>36000/12/30</f>
        <v>100</v>
      </c>
      <c r="K12" s="20"/>
    </row>
    <row r="13" spans="1:11" x14ac:dyDescent="0.2">
      <c r="A13" s="6"/>
      <c r="B13" s="9" t="s">
        <v>14</v>
      </c>
      <c r="C13" s="7">
        <f>40000/12/30</f>
        <v>111.11111111111111</v>
      </c>
      <c r="G13" s="22"/>
      <c r="H13" s="22"/>
      <c r="I13" s="22"/>
      <c r="J13" s="22"/>
    </row>
    <row r="14" spans="1:11" x14ac:dyDescent="0.2">
      <c r="A14" s="6"/>
      <c r="B14" s="9" t="s">
        <v>2</v>
      </c>
      <c r="C14" s="7">
        <f>60000/12/30</f>
        <v>166.66666666666666</v>
      </c>
      <c r="G14" s="22"/>
      <c r="H14" s="22"/>
      <c r="I14" s="22"/>
      <c r="J14" s="22"/>
    </row>
    <row r="15" spans="1:11" x14ac:dyDescent="0.2">
      <c r="A15" s="6"/>
      <c r="B15" s="9" t="s">
        <v>22</v>
      </c>
      <c r="C15" s="7">
        <f>800000/30</f>
        <v>26666.666666666668</v>
      </c>
      <c r="G15" s="22"/>
      <c r="H15" s="22"/>
      <c r="I15" s="22"/>
      <c r="J15" s="22"/>
    </row>
    <row r="16" spans="1:11" x14ac:dyDescent="0.2">
      <c r="A16" s="10"/>
      <c r="B16" s="23" t="s">
        <v>3</v>
      </c>
      <c r="C16" s="11">
        <f>SUM(C4:C15)</f>
        <v>38066.666666666664</v>
      </c>
      <c r="G16" s="22"/>
      <c r="H16" s="22"/>
      <c r="I16" s="22"/>
      <c r="J16" s="22"/>
    </row>
    <row r="17" spans="1:9" x14ac:dyDescent="0.2">
      <c r="A17" s="4">
        <v>2</v>
      </c>
      <c r="B17" s="5" t="s">
        <v>4</v>
      </c>
      <c r="G17" s="20"/>
      <c r="I17" s="22"/>
    </row>
    <row r="18" spans="1:9" x14ac:dyDescent="0.2">
      <c r="A18" s="12"/>
      <c r="B18" s="9" t="s">
        <v>5</v>
      </c>
      <c r="C18" s="7">
        <f>1200000/30</f>
        <v>40000</v>
      </c>
      <c r="E18" s="18"/>
      <c r="G18" s="20"/>
      <c r="I18" s="22"/>
    </row>
    <row r="19" spans="1:9" x14ac:dyDescent="0.2">
      <c r="A19" s="13"/>
      <c r="B19" s="15" t="s">
        <v>16</v>
      </c>
      <c r="C19" s="7">
        <f>300000/30</f>
        <v>10000</v>
      </c>
      <c r="E19" s="18"/>
      <c r="I19" s="22"/>
    </row>
    <row r="20" spans="1:9" x14ac:dyDescent="0.2">
      <c r="A20" s="13"/>
      <c r="B20" s="24" t="s">
        <v>17</v>
      </c>
      <c r="C20" s="17">
        <f>+C19+C18</f>
        <v>50000</v>
      </c>
      <c r="E20" s="18"/>
      <c r="G20" s="20"/>
    </row>
    <row r="21" spans="1:9" hidden="1" x14ac:dyDescent="0.2">
      <c r="A21" s="13"/>
      <c r="B21" s="16" t="s">
        <v>15</v>
      </c>
      <c r="C21" s="17">
        <v>2500</v>
      </c>
    </row>
    <row r="22" spans="1:9" x14ac:dyDescent="0.2">
      <c r="A22" s="4">
        <v>3</v>
      </c>
      <c r="B22" s="5" t="s">
        <v>18</v>
      </c>
    </row>
    <row r="23" spans="1:9" x14ac:dyDescent="0.2">
      <c r="A23" s="12"/>
      <c r="B23" s="9" t="s">
        <v>44</v>
      </c>
      <c r="C23" s="7">
        <f>2000000/30</f>
        <v>66666.666666666672</v>
      </c>
    </row>
    <row r="24" spans="1:9" x14ac:dyDescent="0.2">
      <c r="A24" s="13"/>
      <c r="B24" s="24" t="s">
        <v>19</v>
      </c>
      <c r="C24" s="14">
        <f>+C23</f>
        <v>66666.666666666672</v>
      </c>
    </row>
    <row r="26" spans="1:9" x14ac:dyDescent="0.2">
      <c r="B26" s="24" t="s">
        <v>43</v>
      </c>
      <c r="C26" s="17">
        <f>+C16+C20+C24</f>
        <v>154733.33333333331</v>
      </c>
    </row>
    <row r="27" spans="1:9" x14ac:dyDescent="0.2">
      <c r="A27" s="19"/>
      <c r="B27" s="19"/>
      <c r="C27" s="19"/>
      <c r="D27" s="18"/>
      <c r="E27" s="25"/>
    </row>
    <row r="28" spans="1:9" s="19" customFormat="1" x14ac:dyDescent="0.2">
      <c r="B28" s="28" t="s">
        <v>20</v>
      </c>
      <c r="C28" s="26">
        <f>+C26</f>
        <v>154733.33333333331</v>
      </c>
      <c r="D28" s="27"/>
    </row>
    <row r="29" spans="1:9" s="19" customFormat="1" x14ac:dyDescent="0.2">
      <c r="B29" s="28"/>
      <c r="C29" s="26"/>
      <c r="D29" s="27"/>
    </row>
    <row r="30" spans="1:9" s="19" customFormat="1" x14ac:dyDescent="0.2">
      <c r="B30" s="29" t="s">
        <v>25</v>
      </c>
      <c r="C30" s="26">
        <f>C40*3.6%</f>
        <v>14469.228000000001</v>
      </c>
      <c r="D30" s="27"/>
    </row>
    <row r="31" spans="1:9" s="19" customFormat="1" x14ac:dyDescent="0.2">
      <c r="B31" s="29" t="s">
        <v>26</v>
      </c>
      <c r="C31" s="26">
        <f>C40*3.5%</f>
        <v>14067.305000000002</v>
      </c>
      <c r="D31" s="27"/>
    </row>
    <row r="32" spans="1:9" s="19" customFormat="1" x14ac:dyDescent="0.2">
      <c r="B32" s="29" t="s">
        <v>27</v>
      </c>
      <c r="C32" s="26">
        <f>C40*4.14/1000</f>
        <v>1663.9612199999999</v>
      </c>
      <c r="D32" s="27"/>
    </row>
    <row r="33" spans="1:7" s="19" customFormat="1" x14ac:dyDescent="0.2">
      <c r="B33" s="24" t="s">
        <v>28</v>
      </c>
      <c r="C33" s="24">
        <f>C30+C31+C32</f>
        <v>30200.494220000004</v>
      </c>
      <c r="D33" s="27"/>
    </row>
    <row r="34" spans="1:7" x14ac:dyDescent="0.2">
      <c r="A34" s="19"/>
      <c r="B34" s="29"/>
      <c r="C34" s="26"/>
      <c r="D34" s="34"/>
    </row>
    <row r="35" spans="1:7" x14ac:dyDescent="0.2">
      <c r="A35" s="19"/>
      <c r="B35" s="29" t="s">
        <v>29</v>
      </c>
      <c r="C35" s="26">
        <f>C28+C33</f>
        <v>184933.82755333331</v>
      </c>
      <c r="D35" s="34"/>
    </row>
    <row r="36" spans="1:7" x14ac:dyDescent="0.2">
      <c r="A36" s="19"/>
      <c r="B36" s="32" t="s">
        <v>30</v>
      </c>
      <c r="C36" s="33">
        <f>C40-C35</f>
        <v>216989.17244666669</v>
      </c>
      <c r="D36" s="34"/>
      <c r="E36" s="31"/>
      <c r="F36" s="31"/>
      <c r="G36" s="18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30"/>
      <c r="C39" s="26"/>
    </row>
    <row r="40" spans="1:7" x14ac:dyDescent="0.2">
      <c r="A40" s="19"/>
      <c r="B40" s="28" t="s">
        <v>24</v>
      </c>
      <c r="C40" s="35">
        <v>401923</v>
      </c>
    </row>
    <row r="41" spans="1:7" x14ac:dyDescent="0.2">
      <c r="A41" s="19"/>
      <c r="B41" s="19"/>
      <c r="C41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9C80A-8E87-4854-8C14-4DFC8E1367A0}">
  <sheetPr>
    <pageSetUpPr fitToPage="1"/>
  </sheetPr>
  <dimension ref="A1:K40"/>
  <sheetViews>
    <sheetView zoomScale="78" zoomScaleNormal="75" zoomScalePageLayoutView="7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" sqref="B1:C39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47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31</v>
      </c>
      <c r="C3" s="5" t="s">
        <v>37</v>
      </c>
    </row>
    <row r="4" spans="1:11" x14ac:dyDescent="0.2">
      <c r="A4" s="6"/>
      <c r="B4" s="6" t="s">
        <v>46</v>
      </c>
      <c r="C4" s="7">
        <f>60000/30</f>
        <v>2000</v>
      </c>
    </row>
    <row r="5" spans="1:11" x14ac:dyDescent="0.2">
      <c r="A5" s="8"/>
      <c r="B5" s="9" t="s">
        <v>8</v>
      </c>
      <c r="C5" s="7">
        <f>650000/12/30</f>
        <v>1805.5555555555554</v>
      </c>
    </row>
    <row r="6" spans="1:11" x14ac:dyDescent="0.2">
      <c r="A6" s="6"/>
      <c r="B6" s="9" t="s">
        <v>6</v>
      </c>
      <c r="C6" s="7">
        <f>371000/12/30</f>
        <v>1030.5555555555557</v>
      </c>
    </row>
    <row r="7" spans="1:11" x14ac:dyDescent="0.2">
      <c r="A7" s="6"/>
      <c r="B7" s="9" t="s">
        <v>7</v>
      </c>
      <c r="C7" s="7">
        <f>371000/12/30</f>
        <v>1030.5555555555557</v>
      </c>
    </row>
    <row r="8" spans="1:11" x14ac:dyDescent="0.2">
      <c r="A8" s="6"/>
      <c r="B8" s="9" t="s">
        <v>48</v>
      </c>
      <c r="C8" s="7">
        <f>250000/12/30</f>
        <v>694.44444444444446</v>
      </c>
    </row>
    <row r="9" spans="1:11" x14ac:dyDescent="0.2">
      <c r="A9" s="6"/>
      <c r="B9" s="9" t="s">
        <v>10</v>
      </c>
      <c r="C9" s="7">
        <f>120000/12/30</f>
        <v>333.33333333333331</v>
      </c>
    </row>
    <row r="10" spans="1:11" x14ac:dyDescent="0.2">
      <c r="A10" s="6"/>
      <c r="B10" s="9" t="s">
        <v>11</v>
      </c>
      <c r="C10" s="7">
        <f>50000/30</f>
        <v>1666.6666666666667</v>
      </c>
      <c r="G10" s="20"/>
      <c r="I10" s="21"/>
      <c r="J10" s="20"/>
      <c r="K10" s="20"/>
    </row>
    <row r="11" spans="1:11" x14ac:dyDescent="0.2">
      <c r="A11" s="6"/>
      <c r="B11" s="9" t="s">
        <v>12</v>
      </c>
      <c r="C11" s="7">
        <v>666.66666666666663</v>
      </c>
      <c r="G11" s="20"/>
      <c r="I11" s="37"/>
      <c r="J11" s="20"/>
      <c r="K11" s="20"/>
    </row>
    <row r="12" spans="1:11" x14ac:dyDescent="0.2">
      <c r="A12" s="6"/>
      <c r="B12" s="9" t="s">
        <v>13</v>
      </c>
      <c r="C12" s="7">
        <f>36000/30</f>
        <v>1200</v>
      </c>
      <c r="K12" s="20"/>
    </row>
    <row r="13" spans="1:11" x14ac:dyDescent="0.2">
      <c r="A13" s="6"/>
      <c r="B13" s="9" t="s">
        <v>2</v>
      </c>
      <c r="C13" s="7">
        <f>60000/30</f>
        <v>2000</v>
      </c>
      <c r="G13" s="22"/>
      <c r="H13" s="22"/>
      <c r="I13" s="22"/>
      <c r="J13" s="22"/>
    </row>
    <row r="14" spans="1:11" x14ac:dyDescent="0.2">
      <c r="A14" s="6"/>
      <c r="B14" s="9" t="s">
        <v>22</v>
      </c>
      <c r="C14" s="7">
        <f>500000/30</f>
        <v>16666.666666666668</v>
      </c>
      <c r="G14" s="22"/>
      <c r="H14" s="22"/>
      <c r="I14" s="22"/>
      <c r="J14" s="22"/>
    </row>
    <row r="15" spans="1:11" x14ac:dyDescent="0.2">
      <c r="A15" s="10"/>
      <c r="B15" s="23" t="s">
        <v>3</v>
      </c>
      <c r="C15" s="11">
        <f>SUM(C4:C14)</f>
        <v>29094.444444444445</v>
      </c>
      <c r="G15" s="22"/>
      <c r="H15" s="22"/>
      <c r="I15" s="22"/>
      <c r="J15" s="22"/>
    </row>
    <row r="16" spans="1:11" x14ac:dyDescent="0.2">
      <c r="A16" s="4">
        <v>2</v>
      </c>
      <c r="B16" s="5" t="s">
        <v>4</v>
      </c>
      <c r="G16" s="20"/>
      <c r="I16" s="22"/>
    </row>
    <row r="17" spans="1:9" x14ac:dyDescent="0.2">
      <c r="A17" s="12"/>
      <c r="B17" s="9" t="s">
        <v>5</v>
      </c>
      <c r="C17" s="7">
        <f>600000/30</f>
        <v>20000</v>
      </c>
      <c r="E17" s="18"/>
      <c r="G17" s="20"/>
      <c r="I17" s="22"/>
    </row>
    <row r="18" spans="1:9" x14ac:dyDescent="0.2">
      <c r="A18" s="13"/>
      <c r="B18" s="15" t="s">
        <v>16</v>
      </c>
      <c r="C18" s="7">
        <f>200000/30</f>
        <v>6666.666666666667</v>
      </c>
      <c r="E18" s="18"/>
      <c r="I18" s="22"/>
    </row>
    <row r="19" spans="1:9" x14ac:dyDescent="0.2">
      <c r="A19" s="13"/>
      <c r="B19" s="24" t="s">
        <v>17</v>
      </c>
      <c r="C19" s="17">
        <f>+C18+C17</f>
        <v>26666.666666666668</v>
      </c>
      <c r="E19" s="18"/>
      <c r="G19" s="20"/>
    </row>
    <row r="20" spans="1:9" hidden="1" x14ac:dyDescent="0.2">
      <c r="A20" s="13"/>
      <c r="B20" s="16" t="s">
        <v>15</v>
      </c>
      <c r="C20" s="17">
        <v>2500</v>
      </c>
    </row>
    <row r="21" spans="1:9" x14ac:dyDescent="0.2">
      <c r="A21" s="4">
        <v>3</v>
      </c>
      <c r="B21" s="5" t="s">
        <v>18</v>
      </c>
    </row>
    <row r="22" spans="1:9" x14ac:dyDescent="0.2">
      <c r="A22" s="12"/>
      <c r="B22" s="9" t="s">
        <v>44</v>
      </c>
      <c r="C22" s="7">
        <f>2000000/30</f>
        <v>66666.666666666672</v>
      </c>
    </row>
    <row r="23" spans="1:9" x14ac:dyDescent="0.2">
      <c r="A23" s="13"/>
      <c r="B23" s="24" t="s">
        <v>19</v>
      </c>
      <c r="C23" s="14">
        <f>+C22</f>
        <v>66666.666666666672</v>
      </c>
    </row>
    <row r="25" spans="1:9" x14ac:dyDescent="0.2">
      <c r="B25" s="24" t="s">
        <v>43</v>
      </c>
      <c r="C25" s="17">
        <f>+C15+C19+C23</f>
        <v>122427.77777777778</v>
      </c>
    </row>
    <row r="26" spans="1:9" x14ac:dyDescent="0.2">
      <c r="A26" s="19"/>
      <c r="B26" s="19"/>
      <c r="C26" s="19"/>
      <c r="D26" s="18"/>
      <c r="E26" s="25"/>
    </row>
    <row r="27" spans="1:9" s="19" customFormat="1" x14ac:dyDescent="0.2">
      <c r="B27" s="28" t="s">
        <v>20</v>
      </c>
      <c r="C27" s="38">
        <f>+C25</f>
        <v>122427.77777777778</v>
      </c>
      <c r="D27" s="27"/>
    </row>
    <row r="28" spans="1:9" s="19" customFormat="1" x14ac:dyDescent="0.2">
      <c r="B28" s="28"/>
      <c r="C28" s="26"/>
      <c r="D28" s="27"/>
    </row>
    <row r="29" spans="1:9" s="19" customFormat="1" x14ac:dyDescent="0.2">
      <c r="B29" s="29" t="s">
        <v>25</v>
      </c>
      <c r="C29" s="26">
        <f>C39*3.6%</f>
        <v>10591.236000000001</v>
      </c>
      <c r="D29" s="27"/>
    </row>
    <row r="30" spans="1:9" s="19" customFormat="1" x14ac:dyDescent="0.2">
      <c r="B30" s="29" t="s">
        <v>26</v>
      </c>
      <c r="C30" s="26">
        <f>C39*3.5%</f>
        <v>10297.035000000002</v>
      </c>
      <c r="D30" s="27"/>
    </row>
    <row r="31" spans="1:9" s="19" customFormat="1" x14ac:dyDescent="0.2">
      <c r="B31" s="29" t="s">
        <v>27</v>
      </c>
      <c r="C31" s="26">
        <f>C39*4.14/1000</f>
        <v>1217.9921399999998</v>
      </c>
      <c r="D31" s="27"/>
    </row>
    <row r="32" spans="1:9" s="19" customFormat="1" x14ac:dyDescent="0.2">
      <c r="B32" s="24" t="s">
        <v>28</v>
      </c>
      <c r="C32" s="24">
        <f>C29+C30+C31</f>
        <v>22106.263139999999</v>
      </c>
      <c r="D32" s="27"/>
    </row>
    <row r="33" spans="1:7" x14ac:dyDescent="0.2">
      <c r="A33" s="19"/>
      <c r="B33" s="29"/>
      <c r="C33" s="26"/>
      <c r="D33" s="34"/>
    </row>
    <row r="34" spans="1:7" x14ac:dyDescent="0.2">
      <c r="A34" s="19"/>
      <c r="B34" s="29" t="s">
        <v>29</v>
      </c>
      <c r="C34" s="26">
        <f>+C27+C32</f>
        <v>144534.04091777778</v>
      </c>
      <c r="D34" s="34"/>
    </row>
    <row r="35" spans="1:7" x14ac:dyDescent="0.2">
      <c r="A35" s="19"/>
      <c r="B35" s="32" t="s">
        <v>30</v>
      </c>
      <c r="C35" s="33">
        <f>C39-C34</f>
        <v>149666.95908222222</v>
      </c>
      <c r="D35" s="34"/>
      <c r="E35" s="31"/>
      <c r="F35" s="31"/>
      <c r="G35" s="18"/>
    </row>
    <row r="36" spans="1:7" x14ac:dyDescent="0.2">
      <c r="A36" s="19"/>
      <c r="B36" s="30"/>
      <c r="C36" s="26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28" t="s">
        <v>24</v>
      </c>
      <c r="C39" s="35">
        <v>294201</v>
      </c>
    </row>
    <row r="40" spans="1:7" x14ac:dyDescent="0.2">
      <c r="A40" s="19"/>
      <c r="B40" s="19"/>
      <c r="C40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2FB7-40ED-42F8-8B44-B6A3F606C48A}">
  <sheetPr>
    <pageSetUpPr fitToPage="1"/>
  </sheetPr>
  <dimension ref="A1:K40"/>
  <sheetViews>
    <sheetView zoomScale="78" zoomScaleNormal="75" zoomScalePageLayoutView="75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G43" sqref="G43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49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39</v>
      </c>
      <c r="C3" s="5" t="s">
        <v>36</v>
      </c>
    </row>
    <row r="4" spans="1:11" x14ac:dyDescent="0.2">
      <c r="A4" s="6"/>
      <c r="B4" s="6" t="s">
        <v>46</v>
      </c>
      <c r="C4" s="7">
        <f>80000/30</f>
        <v>2666.6666666666665</v>
      </c>
    </row>
    <row r="5" spans="1:11" x14ac:dyDescent="0.2">
      <c r="A5" s="8"/>
      <c r="B5" s="9" t="s">
        <v>8</v>
      </c>
      <c r="C5" s="7">
        <f>900000/12/30</f>
        <v>2500</v>
      </c>
    </row>
    <row r="6" spans="1:11" x14ac:dyDescent="0.2">
      <c r="A6" s="6"/>
      <c r="B6" s="9" t="s">
        <v>6</v>
      </c>
      <c r="C6" s="7">
        <f>500000/12/30</f>
        <v>1388.8888888888889</v>
      </c>
    </row>
    <row r="7" spans="1:11" x14ac:dyDescent="0.2">
      <c r="A7" s="6"/>
      <c r="B7" s="9" t="s">
        <v>7</v>
      </c>
      <c r="C7" s="7">
        <f>500000/12/30</f>
        <v>1388.8888888888889</v>
      </c>
    </row>
    <row r="8" spans="1:11" x14ac:dyDescent="0.2">
      <c r="A8" s="6"/>
      <c r="B8" s="9" t="s">
        <v>9</v>
      </c>
      <c r="C8" s="7">
        <f>300000/12/30</f>
        <v>833.33333333333337</v>
      </c>
    </row>
    <row r="9" spans="1:11" x14ac:dyDescent="0.2">
      <c r="A9" s="6"/>
      <c r="B9" s="9" t="s">
        <v>10</v>
      </c>
      <c r="C9" s="7">
        <f>8000/12/30</f>
        <v>22.222222222222221</v>
      </c>
    </row>
    <row r="10" spans="1:11" x14ac:dyDescent="0.2">
      <c r="A10" s="6"/>
      <c r="B10" s="9" t="s">
        <v>11</v>
      </c>
      <c r="C10" s="7">
        <f>50000/12/30</f>
        <v>138.88888888888889</v>
      </c>
      <c r="G10" s="20">
        <v>424328.2159999999</v>
      </c>
      <c r="I10" s="21"/>
      <c r="J10" s="20"/>
      <c r="K10" s="20"/>
    </row>
    <row r="11" spans="1:11" x14ac:dyDescent="0.2">
      <c r="A11" s="6"/>
      <c r="B11" s="9" t="s">
        <v>12</v>
      </c>
      <c r="C11" s="7">
        <f>20000/12/30</f>
        <v>55.555555555555557</v>
      </c>
      <c r="G11" s="20"/>
      <c r="I11" s="21"/>
      <c r="J11" s="20"/>
      <c r="K11" s="20"/>
    </row>
    <row r="12" spans="1:11" x14ac:dyDescent="0.2">
      <c r="A12" s="6"/>
      <c r="B12" s="9" t="s">
        <v>13</v>
      </c>
      <c r="C12" s="7">
        <f>36000/12/30</f>
        <v>100</v>
      </c>
      <c r="K12" s="20"/>
    </row>
    <row r="13" spans="1:11" x14ac:dyDescent="0.2">
      <c r="A13" s="6"/>
      <c r="B13" s="9" t="s">
        <v>2</v>
      </c>
      <c r="C13" s="7">
        <f>60000/12/30</f>
        <v>166.66666666666666</v>
      </c>
      <c r="G13" s="22"/>
      <c r="H13" s="22"/>
      <c r="I13" s="22"/>
      <c r="J13" s="22"/>
    </row>
    <row r="14" spans="1:11" x14ac:dyDescent="0.2">
      <c r="A14" s="6"/>
      <c r="B14" s="9" t="s">
        <v>22</v>
      </c>
      <c r="C14" s="7">
        <f>1500000/30</f>
        <v>50000</v>
      </c>
      <c r="G14" s="22"/>
      <c r="H14" s="22"/>
      <c r="I14" s="22"/>
      <c r="J14" s="22"/>
    </row>
    <row r="15" spans="1:11" x14ac:dyDescent="0.2">
      <c r="A15" s="10"/>
      <c r="B15" s="23" t="s">
        <v>3</v>
      </c>
      <c r="C15" s="11">
        <f>SUM(C4:C14)</f>
        <v>59261.111111111109</v>
      </c>
      <c r="G15" s="22"/>
      <c r="H15" s="22"/>
      <c r="I15" s="22"/>
      <c r="J15" s="22"/>
    </row>
    <row r="16" spans="1:11" x14ac:dyDescent="0.2">
      <c r="A16" s="4">
        <v>2</v>
      </c>
      <c r="B16" s="5" t="s">
        <v>4</v>
      </c>
      <c r="G16" s="20"/>
      <c r="I16" s="22"/>
    </row>
    <row r="17" spans="1:9" x14ac:dyDescent="0.2">
      <c r="A17" s="12"/>
      <c r="B17" s="9" t="s">
        <v>5</v>
      </c>
      <c r="C17" s="7">
        <f>1200000/30</f>
        <v>40000</v>
      </c>
      <c r="E17" s="18"/>
      <c r="G17" s="20"/>
      <c r="I17" s="22"/>
    </row>
    <row r="18" spans="1:9" x14ac:dyDescent="0.2">
      <c r="A18" s="13"/>
      <c r="B18" s="15" t="s">
        <v>16</v>
      </c>
      <c r="C18" s="7">
        <f>300000/30</f>
        <v>10000</v>
      </c>
      <c r="E18" s="18"/>
      <c r="I18" s="22"/>
    </row>
    <row r="19" spans="1:9" x14ac:dyDescent="0.2">
      <c r="A19" s="13"/>
      <c r="B19" s="24" t="s">
        <v>17</v>
      </c>
      <c r="C19" s="17">
        <f>+C18+C17</f>
        <v>50000</v>
      </c>
      <c r="E19" s="18"/>
      <c r="G19" s="20"/>
    </row>
    <row r="20" spans="1:9" hidden="1" x14ac:dyDescent="0.2">
      <c r="A20" s="13"/>
      <c r="B20" s="16" t="s">
        <v>15</v>
      </c>
      <c r="C20" s="17">
        <v>2500</v>
      </c>
    </row>
    <row r="21" spans="1:9" x14ac:dyDescent="0.2">
      <c r="A21" s="4">
        <v>3</v>
      </c>
      <c r="B21" s="5" t="s">
        <v>18</v>
      </c>
    </row>
    <row r="22" spans="1:9" x14ac:dyDescent="0.2">
      <c r="A22" s="12"/>
      <c r="B22" s="9" t="s">
        <v>44</v>
      </c>
      <c r="C22" s="7">
        <f>2100000/30</f>
        <v>70000</v>
      </c>
    </row>
    <row r="23" spans="1:9" x14ac:dyDescent="0.2">
      <c r="A23" s="13"/>
      <c r="B23" s="24" t="s">
        <v>19</v>
      </c>
      <c r="C23" s="14">
        <f>+C22</f>
        <v>70000</v>
      </c>
    </row>
    <row r="25" spans="1:9" x14ac:dyDescent="0.2">
      <c r="B25" s="24" t="s">
        <v>43</v>
      </c>
      <c r="C25" s="17">
        <f>+C15+C19+C23</f>
        <v>179261.11111111112</v>
      </c>
    </row>
    <row r="26" spans="1:9" x14ac:dyDescent="0.2">
      <c r="A26" s="19"/>
      <c r="B26" s="19"/>
      <c r="C26" s="19"/>
      <c r="D26" s="18"/>
      <c r="E26" s="25"/>
    </row>
    <row r="27" spans="1:9" s="19" customFormat="1" x14ac:dyDescent="0.2">
      <c r="B27" s="28" t="s">
        <v>20</v>
      </c>
      <c r="C27" s="26">
        <f>+C25</f>
        <v>179261.11111111112</v>
      </c>
      <c r="D27" s="27"/>
    </row>
    <row r="28" spans="1:9" s="19" customFormat="1" x14ac:dyDescent="0.2">
      <c r="B28" s="28"/>
      <c r="C28" s="26"/>
      <c r="D28" s="27"/>
    </row>
    <row r="29" spans="1:9" s="19" customFormat="1" x14ac:dyDescent="0.2">
      <c r="B29" s="29" t="s">
        <v>25</v>
      </c>
      <c r="C29" s="26">
        <f>C39*3.6%</f>
        <v>15275.808000000001</v>
      </c>
      <c r="D29" s="27"/>
    </row>
    <row r="30" spans="1:9" s="19" customFormat="1" x14ac:dyDescent="0.2">
      <c r="B30" s="29" t="s">
        <v>26</v>
      </c>
      <c r="C30" s="26">
        <f>C39*3.5%</f>
        <v>14851.480000000001</v>
      </c>
      <c r="D30" s="27"/>
    </row>
    <row r="31" spans="1:9" s="19" customFormat="1" x14ac:dyDescent="0.2">
      <c r="B31" s="29" t="s">
        <v>27</v>
      </c>
      <c r="C31" s="26">
        <f>C39*4.14/1000</f>
        <v>1756.7179199999998</v>
      </c>
      <c r="D31" s="27"/>
    </row>
    <row r="32" spans="1:9" s="19" customFormat="1" x14ac:dyDescent="0.2">
      <c r="B32" s="24" t="s">
        <v>28</v>
      </c>
      <c r="C32" s="24">
        <f>C29+C30+C31</f>
        <v>31884.00592</v>
      </c>
      <c r="D32" s="27"/>
    </row>
    <row r="33" spans="1:7" x14ac:dyDescent="0.2">
      <c r="A33" s="19"/>
      <c r="B33" s="29"/>
      <c r="C33" s="26"/>
      <c r="D33" s="34"/>
    </row>
    <row r="34" spans="1:7" x14ac:dyDescent="0.2">
      <c r="A34" s="19"/>
      <c r="B34" s="29" t="s">
        <v>29</v>
      </c>
      <c r="C34" s="26">
        <f>C27+C32</f>
        <v>211145.11703111112</v>
      </c>
      <c r="D34" s="34"/>
    </row>
    <row r="35" spans="1:7" x14ac:dyDescent="0.2">
      <c r="A35" s="19"/>
      <c r="B35" s="32" t="s">
        <v>30</v>
      </c>
      <c r="C35" s="33">
        <f>C39-C34</f>
        <v>213182.88296888888</v>
      </c>
      <c r="D35" s="34"/>
      <c r="E35" s="31"/>
      <c r="F35" s="31"/>
      <c r="G35" s="18"/>
    </row>
    <row r="36" spans="1:7" x14ac:dyDescent="0.2">
      <c r="A36" s="19"/>
      <c r="B36" s="30"/>
      <c r="C36" s="26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28" t="s">
        <v>24</v>
      </c>
      <c r="C39" s="35">
        <v>424328</v>
      </c>
    </row>
    <row r="40" spans="1:7" x14ac:dyDescent="0.2">
      <c r="A40" s="19"/>
      <c r="B40" s="19"/>
      <c r="C40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3357-E249-4BAC-8C8A-BFA0CBAC217E}">
  <sheetPr>
    <pageSetUpPr fitToPage="1"/>
  </sheetPr>
  <dimension ref="A1:K40"/>
  <sheetViews>
    <sheetView tabSelected="1" zoomScale="78" zoomScaleNormal="75" zoomScalePageLayoutView="75" workbookViewId="0">
      <pane xSplit="1" ySplit="1" topLeftCell="B2" activePane="bottomRight" state="frozen"/>
      <selection activeCell="C5" sqref="C5"/>
      <selection pane="topRight" activeCell="C5" sqref="C5"/>
      <selection pane="bottomLeft" activeCell="C5" sqref="C5"/>
      <selection pane="bottomRight" activeCell="C9" sqref="C9"/>
    </sheetView>
  </sheetViews>
  <sheetFormatPr baseColWidth="10" defaultColWidth="11" defaultRowHeight="15" x14ac:dyDescent="0.2"/>
  <cols>
    <col min="1" max="1" width="2.5" style="3" bestFit="1" customWidth="1"/>
    <col min="2" max="2" width="68.75" style="3" customWidth="1"/>
    <col min="3" max="3" width="20" style="3" bestFit="1" customWidth="1"/>
    <col min="4" max="4" width="6.625" style="3" bestFit="1" customWidth="1"/>
    <col min="5" max="5" width="12.25" style="3" bestFit="1" customWidth="1"/>
    <col min="6" max="6" width="11.375" style="3" bestFit="1" customWidth="1"/>
    <col min="7" max="7" width="18.625" style="3" bestFit="1" customWidth="1"/>
    <col min="8" max="8" width="11" style="3"/>
    <col min="9" max="9" width="18.125" style="3" bestFit="1" customWidth="1"/>
    <col min="10" max="10" width="17.5" style="3" bestFit="1" customWidth="1"/>
    <col min="11" max="11" width="18.125" style="3" bestFit="1" customWidth="1"/>
    <col min="12" max="231" width="11" style="3"/>
    <col min="232" max="232" width="2.5" style="3" bestFit="1" customWidth="1"/>
    <col min="233" max="233" width="65.625" style="3" customWidth="1"/>
    <col min="234" max="234" width="22" style="3" customWidth="1"/>
    <col min="235" max="235" width="19.375" style="3" customWidth="1"/>
    <col min="236" max="236" width="19.5" style="3" bestFit="1" customWidth="1"/>
    <col min="237" max="237" width="17.875" style="3" bestFit="1" customWidth="1"/>
    <col min="238" max="238" width="26.5" style="3" customWidth="1"/>
    <col min="239" max="239" width="6.125" style="3" customWidth="1"/>
    <col min="240" max="240" width="10" style="3" customWidth="1"/>
    <col min="241" max="241" width="4.5" style="3" bestFit="1" customWidth="1"/>
    <col min="242" max="242" width="3.125" style="3" customWidth="1"/>
    <col min="243" max="243" width="6" style="3" bestFit="1" customWidth="1"/>
    <col min="244" max="244" width="5.5" style="3" bestFit="1" customWidth="1"/>
    <col min="245" max="487" width="11" style="3"/>
    <col min="488" max="488" width="2.5" style="3" bestFit="1" customWidth="1"/>
    <col min="489" max="489" width="65.625" style="3" customWidth="1"/>
    <col min="490" max="490" width="22" style="3" customWidth="1"/>
    <col min="491" max="491" width="19.375" style="3" customWidth="1"/>
    <col min="492" max="492" width="19.5" style="3" bestFit="1" customWidth="1"/>
    <col min="493" max="493" width="17.875" style="3" bestFit="1" customWidth="1"/>
    <col min="494" max="494" width="26.5" style="3" customWidth="1"/>
    <col min="495" max="495" width="6.125" style="3" customWidth="1"/>
    <col min="496" max="496" width="10" style="3" customWidth="1"/>
    <col min="497" max="497" width="4.5" style="3" bestFit="1" customWidth="1"/>
    <col min="498" max="498" width="3.125" style="3" customWidth="1"/>
    <col min="499" max="499" width="6" style="3" bestFit="1" customWidth="1"/>
    <col min="500" max="500" width="5.5" style="3" bestFit="1" customWidth="1"/>
    <col min="501" max="743" width="11" style="3"/>
    <col min="744" max="744" width="2.5" style="3" bestFit="1" customWidth="1"/>
    <col min="745" max="745" width="65.625" style="3" customWidth="1"/>
    <col min="746" max="746" width="22" style="3" customWidth="1"/>
    <col min="747" max="747" width="19.375" style="3" customWidth="1"/>
    <col min="748" max="748" width="19.5" style="3" bestFit="1" customWidth="1"/>
    <col min="749" max="749" width="17.875" style="3" bestFit="1" customWidth="1"/>
    <col min="750" max="750" width="26.5" style="3" customWidth="1"/>
    <col min="751" max="751" width="6.125" style="3" customWidth="1"/>
    <col min="752" max="752" width="10" style="3" customWidth="1"/>
    <col min="753" max="753" width="4.5" style="3" bestFit="1" customWidth="1"/>
    <col min="754" max="754" width="3.125" style="3" customWidth="1"/>
    <col min="755" max="755" width="6" style="3" bestFit="1" customWidth="1"/>
    <col min="756" max="756" width="5.5" style="3" bestFit="1" customWidth="1"/>
    <col min="757" max="999" width="11" style="3"/>
    <col min="1000" max="1000" width="2.5" style="3" bestFit="1" customWidth="1"/>
    <col min="1001" max="1001" width="65.625" style="3" customWidth="1"/>
    <col min="1002" max="1002" width="22" style="3" customWidth="1"/>
    <col min="1003" max="1003" width="19.375" style="3" customWidth="1"/>
    <col min="1004" max="1004" width="19.5" style="3" bestFit="1" customWidth="1"/>
    <col min="1005" max="1005" width="17.875" style="3" bestFit="1" customWidth="1"/>
    <col min="1006" max="1006" width="26.5" style="3" customWidth="1"/>
    <col min="1007" max="1007" width="6.125" style="3" customWidth="1"/>
    <col min="1008" max="1008" width="10" style="3" customWidth="1"/>
    <col min="1009" max="1009" width="4.5" style="3" bestFit="1" customWidth="1"/>
    <col min="1010" max="1010" width="3.125" style="3" customWidth="1"/>
    <col min="1011" max="1011" width="6" style="3" bestFit="1" customWidth="1"/>
    <col min="1012" max="1012" width="5.5" style="3" bestFit="1" customWidth="1"/>
    <col min="1013" max="1255" width="11" style="3"/>
    <col min="1256" max="1256" width="2.5" style="3" bestFit="1" customWidth="1"/>
    <col min="1257" max="1257" width="65.625" style="3" customWidth="1"/>
    <col min="1258" max="1258" width="22" style="3" customWidth="1"/>
    <col min="1259" max="1259" width="19.375" style="3" customWidth="1"/>
    <col min="1260" max="1260" width="19.5" style="3" bestFit="1" customWidth="1"/>
    <col min="1261" max="1261" width="17.875" style="3" bestFit="1" customWidth="1"/>
    <col min="1262" max="1262" width="26.5" style="3" customWidth="1"/>
    <col min="1263" max="1263" width="6.125" style="3" customWidth="1"/>
    <col min="1264" max="1264" width="10" style="3" customWidth="1"/>
    <col min="1265" max="1265" width="4.5" style="3" bestFit="1" customWidth="1"/>
    <col min="1266" max="1266" width="3.125" style="3" customWidth="1"/>
    <col min="1267" max="1267" width="6" style="3" bestFit="1" customWidth="1"/>
    <col min="1268" max="1268" width="5.5" style="3" bestFit="1" customWidth="1"/>
    <col min="1269" max="1511" width="11" style="3"/>
    <col min="1512" max="1512" width="2.5" style="3" bestFit="1" customWidth="1"/>
    <col min="1513" max="1513" width="65.625" style="3" customWidth="1"/>
    <col min="1514" max="1514" width="22" style="3" customWidth="1"/>
    <col min="1515" max="1515" width="19.375" style="3" customWidth="1"/>
    <col min="1516" max="1516" width="19.5" style="3" bestFit="1" customWidth="1"/>
    <col min="1517" max="1517" width="17.875" style="3" bestFit="1" customWidth="1"/>
    <col min="1518" max="1518" width="26.5" style="3" customWidth="1"/>
    <col min="1519" max="1519" width="6.125" style="3" customWidth="1"/>
    <col min="1520" max="1520" width="10" style="3" customWidth="1"/>
    <col min="1521" max="1521" width="4.5" style="3" bestFit="1" customWidth="1"/>
    <col min="1522" max="1522" width="3.125" style="3" customWidth="1"/>
    <col min="1523" max="1523" width="6" style="3" bestFit="1" customWidth="1"/>
    <col min="1524" max="1524" width="5.5" style="3" bestFit="1" customWidth="1"/>
    <col min="1525" max="1767" width="11" style="3"/>
    <col min="1768" max="1768" width="2.5" style="3" bestFit="1" customWidth="1"/>
    <col min="1769" max="1769" width="65.625" style="3" customWidth="1"/>
    <col min="1770" max="1770" width="22" style="3" customWidth="1"/>
    <col min="1771" max="1771" width="19.375" style="3" customWidth="1"/>
    <col min="1772" max="1772" width="19.5" style="3" bestFit="1" customWidth="1"/>
    <col min="1773" max="1773" width="17.875" style="3" bestFit="1" customWidth="1"/>
    <col min="1774" max="1774" width="26.5" style="3" customWidth="1"/>
    <col min="1775" max="1775" width="6.125" style="3" customWidth="1"/>
    <col min="1776" max="1776" width="10" style="3" customWidth="1"/>
    <col min="1777" max="1777" width="4.5" style="3" bestFit="1" customWidth="1"/>
    <col min="1778" max="1778" width="3.125" style="3" customWidth="1"/>
    <col min="1779" max="1779" width="6" style="3" bestFit="1" customWidth="1"/>
    <col min="1780" max="1780" width="5.5" style="3" bestFit="1" customWidth="1"/>
    <col min="1781" max="2023" width="11" style="3"/>
    <col min="2024" max="2024" width="2.5" style="3" bestFit="1" customWidth="1"/>
    <col min="2025" max="2025" width="65.625" style="3" customWidth="1"/>
    <col min="2026" max="2026" width="22" style="3" customWidth="1"/>
    <col min="2027" max="2027" width="19.375" style="3" customWidth="1"/>
    <col min="2028" max="2028" width="19.5" style="3" bestFit="1" customWidth="1"/>
    <col min="2029" max="2029" width="17.875" style="3" bestFit="1" customWidth="1"/>
    <col min="2030" max="2030" width="26.5" style="3" customWidth="1"/>
    <col min="2031" max="2031" width="6.125" style="3" customWidth="1"/>
    <col min="2032" max="2032" width="10" style="3" customWidth="1"/>
    <col min="2033" max="2033" width="4.5" style="3" bestFit="1" customWidth="1"/>
    <col min="2034" max="2034" width="3.125" style="3" customWidth="1"/>
    <col min="2035" max="2035" width="6" style="3" bestFit="1" customWidth="1"/>
    <col min="2036" max="2036" width="5.5" style="3" bestFit="1" customWidth="1"/>
    <col min="2037" max="2279" width="11" style="3"/>
    <col min="2280" max="2280" width="2.5" style="3" bestFit="1" customWidth="1"/>
    <col min="2281" max="2281" width="65.625" style="3" customWidth="1"/>
    <col min="2282" max="2282" width="22" style="3" customWidth="1"/>
    <col min="2283" max="2283" width="19.375" style="3" customWidth="1"/>
    <col min="2284" max="2284" width="19.5" style="3" bestFit="1" customWidth="1"/>
    <col min="2285" max="2285" width="17.875" style="3" bestFit="1" customWidth="1"/>
    <col min="2286" max="2286" width="26.5" style="3" customWidth="1"/>
    <col min="2287" max="2287" width="6.125" style="3" customWidth="1"/>
    <col min="2288" max="2288" width="10" style="3" customWidth="1"/>
    <col min="2289" max="2289" width="4.5" style="3" bestFit="1" customWidth="1"/>
    <col min="2290" max="2290" width="3.125" style="3" customWidth="1"/>
    <col min="2291" max="2291" width="6" style="3" bestFit="1" customWidth="1"/>
    <col min="2292" max="2292" width="5.5" style="3" bestFit="1" customWidth="1"/>
    <col min="2293" max="2535" width="11" style="3"/>
    <col min="2536" max="2536" width="2.5" style="3" bestFit="1" customWidth="1"/>
    <col min="2537" max="2537" width="65.625" style="3" customWidth="1"/>
    <col min="2538" max="2538" width="22" style="3" customWidth="1"/>
    <col min="2539" max="2539" width="19.375" style="3" customWidth="1"/>
    <col min="2540" max="2540" width="19.5" style="3" bestFit="1" customWidth="1"/>
    <col min="2541" max="2541" width="17.875" style="3" bestFit="1" customWidth="1"/>
    <col min="2542" max="2542" width="26.5" style="3" customWidth="1"/>
    <col min="2543" max="2543" width="6.125" style="3" customWidth="1"/>
    <col min="2544" max="2544" width="10" style="3" customWidth="1"/>
    <col min="2545" max="2545" width="4.5" style="3" bestFit="1" customWidth="1"/>
    <col min="2546" max="2546" width="3.125" style="3" customWidth="1"/>
    <col min="2547" max="2547" width="6" style="3" bestFit="1" customWidth="1"/>
    <col min="2548" max="2548" width="5.5" style="3" bestFit="1" customWidth="1"/>
    <col min="2549" max="2791" width="11" style="3"/>
    <col min="2792" max="2792" width="2.5" style="3" bestFit="1" customWidth="1"/>
    <col min="2793" max="2793" width="65.625" style="3" customWidth="1"/>
    <col min="2794" max="2794" width="22" style="3" customWidth="1"/>
    <col min="2795" max="2795" width="19.375" style="3" customWidth="1"/>
    <col min="2796" max="2796" width="19.5" style="3" bestFit="1" customWidth="1"/>
    <col min="2797" max="2797" width="17.875" style="3" bestFit="1" customWidth="1"/>
    <col min="2798" max="2798" width="26.5" style="3" customWidth="1"/>
    <col min="2799" max="2799" width="6.125" style="3" customWidth="1"/>
    <col min="2800" max="2800" width="10" style="3" customWidth="1"/>
    <col min="2801" max="2801" width="4.5" style="3" bestFit="1" customWidth="1"/>
    <col min="2802" max="2802" width="3.125" style="3" customWidth="1"/>
    <col min="2803" max="2803" width="6" style="3" bestFit="1" customWidth="1"/>
    <col min="2804" max="2804" width="5.5" style="3" bestFit="1" customWidth="1"/>
    <col min="2805" max="3047" width="11" style="3"/>
    <col min="3048" max="3048" width="2.5" style="3" bestFit="1" customWidth="1"/>
    <col min="3049" max="3049" width="65.625" style="3" customWidth="1"/>
    <col min="3050" max="3050" width="22" style="3" customWidth="1"/>
    <col min="3051" max="3051" width="19.375" style="3" customWidth="1"/>
    <col min="3052" max="3052" width="19.5" style="3" bestFit="1" customWidth="1"/>
    <col min="3053" max="3053" width="17.875" style="3" bestFit="1" customWidth="1"/>
    <col min="3054" max="3054" width="26.5" style="3" customWidth="1"/>
    <col min="3055" max="3055" width="6.125" style="3" customWidth="1"/>
    <col min="3056" max="3056" width="10" style="3" customWidth="1"/>
    <col min="3057" max="3057" width="4.5" style="3" bestFit="1" customWidth="1"/>
    <col min="3058" max="3058" width="3.125" style="3" customWidth="1"/>
    <col min="3059" max="3059" width="6" style="3" bestFit="1" customWidth="1"/>
    <col min="3060" max="3060" width="5.5" style="3" bestFit="1" customWidth="1"/>
    <col min="3061" max="3303" width="11" style="3"/>
    <col min="3304" max="3304" width="2.5" style="3" bestFit="1" customWidth="1"/>
    <col min="3305" max="3305" width="65.625" style="3" customWidth="1"/>
    <col min="3306" max="3306" width="22" style="3" customWidth="1"/>
    <col min="3307" max="3307" width="19.375" style="3" customWidth="1"/>
    <col min="3308" max="3308" width="19.5" style="3" bestFit="1" customWidth="1"/>
    <col min="3309" max="3309" width="17.875" style="3" bestFit="1" customWidth="1"/>
    <col min="3310" max="3310" width="26.5" style="3" customWidth="1"/>
    <col min="3311" max="3311" width="6.125" style="3" customWidth="1"/>
    <col min="3312" max="3312" width="10" style="3" customWidth="1"/>
    <col min="3313" max="3313" width="4.5" style="3" bestFit="1" customWidth="1"/>
    <col min="3314" max="3314" width="3.125" style="3" customWidth="1"/>
    <col min="3315" max="3315" width="6" style="3" bestFit="1" customWidth="1"/>
    <col min="3316" max="3316" width="5.5" style="3" bestFit="1" customWidth="1"/>
    <col min="3317" max="3559" width="11" style="3"/>
    <col min="3560" max="3560" width="2.5" style="3" bestFit="1" customWidth="1"/>
    <col min="3561" max="3561" width="65.625" style="3" customWidth="1"/>
    <col min="3562" max="3562" width="22" style="3" customWidth="1"/>
    <col min="3563" max="3563" width="19.375" style="3" customWidth="1"/>
    <col min="3564" max="3564" width="19.5" style="3" bestFit="1" customWidth="1"/>
    <col min="3565" max="3565" width="17.875" style="3" bestFit="1" customWidth="1"/>
    <col min="3566" max="3566" width="26.5" style="3" customWidth="1"/>
    <col min="3567" max="3567" width="6.125" style="3" customWidth="1"/>
    <col min="3568" max="3568" width="10" style="3" customWidth="1"/>
    <col min="3569" max="3569" width="4.5" style="3" bestFit="1" customWidth="1"/>
    <col min="3570" max="3570" width="3.125" style="3" customWidth="1"/>
    <col min="3571" max="3571" width="6" style="3" bestFit="1" customWidth="1"/>
    <col min="3572" max="3572" width="5.5" style="3" bestFit="1" customWidth="1"/>
    <col min="3573" max="3815" width="11" style="3"/>
    <col min="3816" max="3816" width="2.5" style="3" bestFit="1" customWidth="1"/>
    <col min="3817" max="3817" width="65.625" style="3" customWidth="1"/>
    <col min="3818" max="3818" width="22" style="3" customWidth="1"/>
    <col min="3819" max="3819" width="19.375" style="3" customWidth="1"/>
    <col min="3820" max="3820" width="19.5" style="3" bestFit="1" customWidth="1"/>
    <col min="3821" max="3821" width="17.875" style="3" bestFit="1" customWidth="1"/>
    <col min="3822" max="3822" width="26.5" style="3" customWidth="1"/>
    <col min="3823" max="3823" width="6.125" style="3" customWidth="1"/>
    <col min="3824" max="3824" width="10" style="3" customWidth="1"/>
    <col min="3825" max="3825" width="4.5" style="3" bestFit="1" customWidth="1"/>
    <col min="3826" max="3826" width="3.125" style="3" customWidth="1"/>
    <col min="3827" max="3827" width="6" style="3" bestFit="1" customWidth="1"/>
    <col min="3828" max="3828" width="5.5" style="3" bestFit="1" customWidth="1"/>
    <col min="3829" max="4071" width="11" style="3"/>
    <col min="4072" max="4072" width="2.5" style="3" bestFit="1" customWidth="1"/>
    <col min="4073" max="4073" width="65.625" style="3" customWidth="1"/>
    <col min="4074" max="4074" width="22" style="3" customWidth="1"/>
    <col min="4075" max="4075" width="19.375" style="3" customWidth="1"/>
    <col min="4076" max="4076" width="19.5" style="3" bestFit="1" customWidth="1"/>
    <col min="4077" max="4077" width="17.875" style="3" bestFit="1" customWidth="1"/>
    <col min="4078" max="4078" width="26.5" style="3" customWidth="1"/>
    <col min="4079" max="4079" width="6.125" style="3" customWidth="1"/>
    <col min="4080" max="4080" width="10" style="3" customWidth="1"/>
    <col min="4081" max="4081" width="4.5" style="3" bestFit="1" customWidth="1"/>
    <col min="4082" max="4082" width="3.125" style="3" customWidth="1"/>
    <col min="4083" max="4083" width="6" style="3" bestFit="1" customWidth="1"/>
    <col min="4084" max="4084" width="5.5" style="3" bestFit="1" customWidth="1"/>
    <col min="4085" max="4327" width="11" style="3"/>
    <col min="4328" max="4328" width="2.5" style="3" bestFit="1" customWidth="1"/>
    <col min="4329" max="4329" width="65.625" style="3" customWidth="1"/>
    <col min="4330" max="4330" width="22" style="3" customWidth="1"/>
    <col min="4331" max="4331" width="19.375" style="3" customWidth="1"/>
    <col min="4332" max="4332" width="19.5" style="3" bestFit="1" customWidth="1"/>
    <col min="4333" max="4333" width="17.875" style="3" bestFit="1" customWidth="1"/>
    <col min="4334" max="4334" width="26.5" style="3" customWidth="1"/>
    <col min="4335" max="4335" width="6.125" style="3" customWidth="1"/>
    <col min="4336" max="4336" width="10" style="3" customWidth="1"/>
    <col min="4337" max="4337" width="4.5" style="3" bestFit="1" customWidth="1"/>
    <col min="4338" max="4338" width="3.125" style="3" customWidth="1"/>
    <col min="4339" max="4339" width="6" style="3" bestFit="1" customWidth="1"/>
    <col min="4340" max="4340" width="5.5" style="3" bestFit="1" customWidth="1"/>
    <col min="4341" max="4583" width="11" style="3"/>
    <col min="4584" max="4584" width="2.5" style="3" bestFit="1" customWidth="1"/>
    <col min="4585" max="4585" width="65.625" style="3" customWidth="1"/>
    <col min="4586" max="4586" width="22" style="3" customWidth="1"/>
    <col min="4587" max="4587" width="19.375" style="3" customWidth="1"/>
    <col min="4588" max="4588" width="19.5" style="3" bestFit="1" customWidth="1"/>
    <col min="4589" max="4589" width="17.875" style="3" bestFit="1" customWidth="1"/>
    <col min="4590" max="4590" width="26.5" style="3" customWidth="1"/>
    <col min="4591" max="4591" width="6.125" style="3" customWidth="1"/>
    <col min="4592" max="4592" width="10" style="3" customWidth="1"/>
    <col min="4593" max="4593" width="4.5" style="3" bestFit="1" customWidth="1"/>
    <col min="4594" max="4594" width="3.125" style="3" customWidth="1"/>
    <col min="4595" max="4595" width="6" style="3" bestFit="1" customWidth="1"/>
    <col min="4596" max="4596" width="5.5" style="3" bestFit="1" customWidth="1"/>
    <col min="4597" max="4839" width="11" style="3"/>
    <col min="4840" max="4840" width="2.5" style="3" bestFit="1" customWidth="1"/>
    <col min="4841" max="4841" width="65.625" style="3" customWidth="1"/>
    <col min="4842" max="4842" width="22" style="3" customWidth="1"/>
    <col min="4843" max="4843" width="19.375" style="3" customWidth="1"/>
    <col min="4844" max="4844" width="19.5" style="3" bestFit="1" customWidth="1"/>
    <col min="4845" max="4845" width="17.875" style="3" bestFit="1" customWidth="1"/>
    <col min="4846" max="4846" width="26.5" style="3" customWidth="1"/>
    <col min="4847" max="4847" width="6.125" style="3" customWidth="1"/>
    <col min="4848" max="4848" width="10" style="3" customWidth="1"/>
    <col min="4849" max="4849" width="4.5" style="3" bestFit="1" customWidth="1"/>
    <col min="4850" max="4850" width="3.125" style="3" customWidth="1"/>
    <col min="4851" max="4851" width="6" style="3" bestFit="1" customWidth="1"/>
    <col min="4852" max="4852" width="5.5" style="3" bestFit="1" customWidth="1"/>
    <col min="4853" max="5095" width="11" style="3"/>
    <col min="5096" max="5096" width="2.5" style="3" bestFit="1" customWidth="1"/>
    <col min="5097" max="5097" width="65.625" style="3" customWidth="1"/>
    <col min="5098" max="5098" width="22" style="3" customWidth="1"/>
    <col min="5099" max="5099" width="19.375" style="3" customWidth="1"/>
    <col min="5100" max="5100" width="19.5" style="3" bestFit="1" customWidth="1"/>
    <col min="5101" max="5101" width="17.875" style="3" bestFit="1" customWidth="1"/>
    <col min="5102" max="5102" width="26.5" style="3" customWidth="1"/>
    <col min="5103" max="5103" width="6.125" style="3" customWidth="1"/>
    <col min="5104" max="5104" width="10" style="3" customWidth="1"/>
    <col min="5105" max="5105" width="4.5" style="3" bestFit="1" customWidth="1"/>
    <col min="5106" max="5106" width="3.125" style="3" customWidth="1"/>
    <col min="5107" max="5107" width="6" style="3" bestFit="1" customWidth="1"/>
    <col min="5108" max="5108" width="5.5" style="3" bestFit="1" customWidth="1"/>
    <col min="5109" max="5351" width="11" style="3"/>
    <col min="5352" max="5352" width="2.5" style="3" bestFit="1" customWidth="1"/>
    <col min="5353" max="5353" width="65.625" style="3" customWidth="1"/>
    <col min="5354" max="5354" width="22" style="3" customWidth="1"/>
    <col min="5355" max="5355" width="19.375" style="3" customWidth="1"/>
    <col min="5356" max="5356" width="19.5" style="3" bestFit="1" customWidth="1"/>
    <col min="5357" max="5357" width="17.875" style="3" bestFit="1" customWidth="1"/>
    <col min="5358" max="5358" width="26.5" style="3" customWidth="1"/>
    <col min="5359" max="5359" width="6.125" style="3" customWidth="1"/>
    <col min="5360" max="5360" width="10" style="3" customWidth="1"/>
    <col min="5361" max="5361" width="4.5" style="3" bestFit="1" customWidth="1"/>
    <col min="5362" max="5362" width="3.125" style="3" customWidth="1"/>
    <col min="5363" max="5363" width="6" style="3" bestFit="1" customWidth="1"/>
    <col min="5364" max="5364" width="5.5" style="3" bestFit="1" customWidth="1"/>
    <col min="5365" max="5607" width="11" style="3"/>
    <col min="5608" max="5608" width="2.5" style="3" bestFit="1" customWidth="1"/>
    <col min="5609" max="5609" width="65.625" style="3" customWidth="1"/>
    <col min="5610" max="5610" width="22" style="3" customWidth="1"/>
    <col min="5611" max="5611" width="19.375" style="3" customWidth="1"/>
    <col min="5612" max="5612" width="19.5" style="3" bestFit="1" customWidth="1"/>
    <col min="5613" max="5613" width="17.875" style="3" bestFit="1" customWidth="1"/>
    <col min="5614" max="5614" width="26.5" style="3" customWidth="1"/>
    <col min="5615" max="5615" width="6.125" style="3" customWidth="1"/>
    <col min="5616" max="5616" width="10" style="3" customWidth="1"/>
    <col min="5617" max="5617" width="4.5" style="3" bestFit="1" customWidth="1"/>
    <col min="5618" max="5618" width="3.125" style="3" customWidth="1"/>
    <col min="5619" max="5619" width="6" style="3" bestFit="1" customWidth="1"/>
    <col min="5620" max="5620" width="5.5" style="3" bestFit="1" customWidth="1"/>
    <col min="5621" max="5863" width="11" style="3"/>
    <col min="5864" max="5864" width="2.5" style="3" bestFit="1" customWidth="1"/>
    <col min="5865" max="5865" width="65.625" style="3" customWidth="1"/>
    <col min="5866" max="5866" width="22" style="3" customWidth="1"/>
    <col min="5867" max="5867" width="19.375" style="3" customWidth="1"/>
    <col min="5868" max="5868" width="19.5" style="3" bestFit="1" customWidth="1"/>
    <col min="5869" max="5869" width="17.875" style="3" bestFit="1" customWidth="1"/>
    <col min="5870" max="5870" width="26.5" style="3" customWidth="1"/>
    <col min="5871" max="5871" width="6.125" style="3" customWidth="1"/>
    <col min="5872" max="5872" width="10" style="3" customWidth="1"/>
    <col min="5873" max="5873" width="4.5" style="3" bestFit="1" customWidth="1"/>
    <col min="5874" max="5874" width="3.125" style="3" customWidth="1"/>
    <col min="5875" max="5875" width="6" style="3" bestFit="1" customWidth="1"/>
    <col min="5876" max="5876" width="5.5" style="3" bestFit="1" customWidth="1"/>
    <col min="5877" max="6119" width="11" style="3"/>
    <col min="6120" max="6120" width="2.5" style="3" bestFit="1" customWidth="1"/>
    <col min="6121" max="6121" width="65.625" style="3" customWidth="1"/>
    <col min="6122" max="6122" width="22" style="3" customWidth="1"/>
    <col min="6123" max="6123" width="19.375" style="3" customWidth="1"/>
    <col min="6124" max="6124" width="19.5" style="3" bestFit="1" customWidth="1"/>
    <col min="6125" max="6125" width="17.875" style="3" bestFit="1" customWidth="1"/>
    <col min="6126" max="6126" width="26.5" style="3" customWidth="1"/>
    <col min="6127" max="6127" width="6.125" style="3" customWidth="1"/>
    <col min="6128" max="6128" width="10" style="3" customWidth="1"/>
    <col min="6129" max="6129" width="4.5" style="3" bestFit="1" customWidth="1"/>
    <col min="6130" max="6130" width="3.125" style="3" customWidth="1"/>
    <col min="6131" max="6131" width="6" style="3" bestFit="1" customWidth="1"/>
    <col min="6132" max="6132" width="5.5" style="3" bestFit="1" customWidth="1"/>
    <col min="6133" max="6375" width="11" style="3"/>
    <col min="6376" max="6376" width="2.5" style="3" bestFit="1" customWidth="1"/>
    <col min="6377" max="6377" width="65.625" style="3" customWidth="1"/>
    <col min="6378" max="6378" width="22" style="3" customWidth="1"/>
    <col min="6379" max="6379" width="19.375" style="3" customWidth="1"/>
    <col min="6380" max="6380" width="19.5" style="3" bestFit="1" customWidth="1"/>
    <col min="6381" max="6381" width="17.875" style="3" bestFit="1" customWidth="1"/>
    <col min="6382" max="6382" width="26.5" style="3" customWidth="1"/>
    <col min="6383" max="6383" width="6.125" style="3" customWidth="1"/>
    <col min="6384" max="6384" width="10" style="3" customWidth="1"/>
    <col min="6385" max="6385" width="4.5" style="3" bestFit="1" customWidth="1"/>
    <col min="6386" max="6386" width="3.125" style="3" customWidth="1"/>
    <col min="6387" max="6387" width="6" style="3" bestFit="1" customWidth="1"/>
    <col min="6388" max="6388" width="5.5" style="3" bestFit="1" customWidth="1"/>
    <col min="6389" max="6631" width="11" style="3"/>
    <col min="6632" max="6632" width="2.5" style="3" bestFit="1" customWidth="1"/>
    <col min="6633" max="6633" width="65.625" style="3" customWidth="1"/>
    <col min="6634" max="6634" width="22" style="3" customWidth="1"/>
    <col min="6635" max="6635" width="19.375" style="3" customWidth="1"/>
    <col min="6636" max="6636" width="19.5" style="3" bestFit="1" customWidth="1"/>
    <col min="6637" max="6637" width="17.875" style="3" bestFit="1" customWidth="1"/>
    <col min="6638" max="6638" width="26.5" style="3" customWidth="1"/>
    <col min="6639" max="6639" width="6.125" style="3" customWidth="1"/>
    <col min="6640" max="6640" width="10" style="3" customWidth="1"/>
    <col min="6641" max="6641" width="4.5" style="3" bestFit="1" customWidth="1"/>
    <col min="6642" max="6642" width="3.125" style="3" customWidth="1"/>
    <col min="6643" max="6643" width="6" style="3" bestFit="1" customWidth="1"/>
    <col min="6644" max="6644" width="5.5" style="3" bestFit="1" customWidth="1"/>
    <col min="6645" max="6887" width="11" style="3"/>
    <col min="6888" max="6888" width="2.5" style="3" bestFit="1" customWidth="1"/>
    <col min="6889" max="6889" width="65.625" style="3" customWidth="1"/>
    <col min="6890" max="6890" width="22" style="3" customWidth="1"/>
    <col min="6891" max="6891" width="19.375" style="3" customWidth="1"/>
    <col min="6892" max="6892" width="19.5" style="3" bestFit="1" customWidth="1"/>
    <col min="6893" max="6893" width="17.875" style="3" bestFit="1" customWidth="1"/>
    <col min="6894" max="6894" width="26.5" style="3" customWidth="1"/>
    <col min="6895" max="6895" width="6.125" style="3" customWidth="1"/>
    <col min="6896" max="6896" width="10" style="3" customWidth="1"/>
    <col min="6897" max="6897" width="4.5" style="3" bestFit="1" customWidth="1"/>
    <col min="6898" max="6898" width="3.125" style="3" customWidth="1"/>
    <col min="6899" max="6899" width="6" style="3" bestFit="1" customWidth="1"/>
    <col min="6900" max="6900" width="5.5" style="3" bestFit="1" customWidth="1"/>
    <col min="6901" max="7143" width="11" style="3"/>
    <col min="7144" max="7144" width="2.5" style="3" bestFit="1" customWidth="1"/>
    <col min="7145" max="7145" width="65.625" style="3" customWidth="1"/>
    <col min="7146" max="7146" width="22" style="3" customWidth="1"/>
    <col min="7147" max="7147" width="19.375" style="3" customWidth="1"/>
    <col min="7148" max="7148" width="19.5" style="3" bestFit="1" customWidth="1"/>
    <col min="7149" max="7149" width="17.875" style="3" bestFit="1" customWidth="1"/>
    <col min="7150" max="7150" width="26.5" style="3" customWidth="1"/>
    <col min="7151" max="7151" width="6.125" style="3" customWidth="1"/>
    <col min="7152" max="7152" width="10" style="3" customWidth="1"/>
    <col min="7153" max="7153" width="4.5" style="3" bestFit="1" customWidth="1"/>
    <col min="7154" max="7154" width="3.125" style="3" customWidth="1"/>
    <col min="7155" max="7155" width="6" style="3" bestFit="1" customWidth="1"/>
    <col min="7156" max="7156" width="5.5" style="3" bestFit="1" customWidth="1"/>
    <col min="7157" max="7399" width="11" style="3"/>
    <col min="7400" max="7400" width="2.5" style="3" bestFit="1" customWidth="1"/>
    <col min="7401" max="7401" width="65.625" style="3" customWidth="1"/>
    <col min="7402" max="7402" width="22" style="3" customWidth="1"/>
    <col min="7403" max="7403" width="19.375" style="3" customWidth="1"/>
    <col min="7404" max="7404" width="19.5" style="3" bestFit="1" customWidth="1"/>
    <col min="7405" max="7405" width="17.875" style="3" bestFit="1" customWidth="1"/>
    <col min="7406" max="7406" width="26.5" style="3" customWidth="1"/>
    <col min="7407" max="7407" width="6.125" style="3" customWidth="1"/>
    <col min="7408" max="7408" width="10" style="3" customWidth="1"/>
    <col min="7409" max="7409" width="4.5" style="3" bestFit="1" customWidth="1"/>
    <col min="7410" max="7410" width="3.125" style="3" customWidth="1"/>
    <col min="7411" max="7411" width="6" style="3" bestFit="1" customWidth="1"/>
    <col min="7412" max="7412" width="5.5" style="3" bestFit="1" customWidth="1"/>
    <col min="7413" max="7655" width="11" style="3"/>
    <col min="7656" max="7656" width="2.5" style="3" bestFit="1" customWidth="1"/>
    <col min="7657" max="7657" width="65.625" style="3" customWidth="1"/>
    <col min="7658" max="7658" width="22" style="3" customWidth="1"/>
    <col min="7659" max="7659" width="19.375" style="3" customWidth="1"/>
    <col min="7660" max="7660" width="19.5" style="3" bestFit="1" customWidth="1"/>
    <col min="7661" max="7661" width="17.875" style="3" bestFit="1" customWidth="1"/>
    <col min="7662" max="7662" width="26.5" style="3" customWidth="1"/>
    <col min="7663" max="7663" width="6.125" style="3" customWidth="1"/>
    <col min="7664" max="7664" width="10" style="3" customWidth="1"/>
    <col min="7665" max="7665" width="4.5" style="3" bestFit="1" customWidth="1"/>
    <col min="7666" max="7666" width="3.125" style="3" customWidth="1"/>
    <col min="7667" max="7667" width="6" style="3" bestFit="1" customWidth="1"/>
    <col min="7668" max="7668" width="5.5" style="3" bestFit="1" customWidth="1"/>
    <col min="7669" max="7911" width="11" style="3"/>
    <col min="7912" max="7912" width="2.5" style="3" bestFit="1" customWidth="1"/>
    <col min="7913" max="7913" width="65.625" style="3" customWidth="1"/>
    <col min="7914" max="7914" width="22" style="3" customWidth="1"/>
    <col min="7915" max="7915" width="19.375" style="3" customWidth="1"/>
    <col min="7916" max="7916" width="19.5" style="3" bestFit="1" customWidth="1"/>
    <col min="7917" max="7917" width="17.875" style="3" bestFit="1" customWidth="1"/>
    <col min="7918" max="7918" width="26.5" style="3" customWidth="1"/>
    <col min="7919" max="7919" width="6.125" style="3" customWidth="1"/>
    <col min="7920" max="7920" width="10" style="3" customWidth="1"/>
    <col min="7921" max="7921" width="4.5" style="3" bestFit="1" customWidth="1"/>
    <col min="7922" max="7922" width="3.125" style="3" customWidth="1"/>
    <col min="7923" max="7923" width="6" style="3" bestFit="1" customWidth="1"/>
    <col min="7924" max="7924" width="5.5" style="3" bestFit="1" customWidth="1"/>
    <col min="7925" max="8167" width="11" style="3"/>
    <col min="8168" max="8168" width="2.5" style="3" bestFit="1" customWidth="1"/>
    <col min="8169" max="8169" width="65.625" style="3" customWidth="1"/>
    <col min="8170" max="8170" width="22" style="3" customWidth="1"/>
    <col min="8171" max="8171" width="19.375" style="3" customWidth="1"/>
    <col min="8172" max="8172" width="19.5" style="3" bestFit="1" customWidth="1"/>
    <col min="8173" max="8173" width="17.875" style="3" bestFit="1" customWidth="1"/>
    <col min="8174" max="8174" width="26.5" style="3" customWidth="1"/>
    <col min="8175" max="8175" width="6.125" style="3" customWidth="1"/>
    <col min="8176" max="8176" width="10" style="3" customWidth="1"/>
    <col min="8177" max="8177" width="4.5" style="3" bestFit="1" customWidth="1"/>
    <col min="8178" max="8178" width="3.125" style="3" customWidth="1"/>
    <col min="8179" max="8179" width="6" style="3" bestFit="1" customWidth="1"/>
    <col min="8180" max="8180" width="5.5" style="3" bestFit="1" customWidth="1"/>
    <col min="8181" max="8423" width="11" style="3"/>
    <col min="8424" max="8424" width="2.5" style="3" bestFit="1" customWidth="1"/>
    <col min="8425" max="8425" width="65.625" style="3" customWidth="1"/>
    <col min="8426" max="8426" width="22" style="3" customWidth="1"/>
    <col min="8427" max="8427" width="19.375" style="3" customWidth="1"/>
    <col min="8428" max="8428" width="19.5" style="3" bestFit="1" customWidth="1"/>
    <col min="8429" max="8429" width="17.875" style="3" bestFit="1" customWidth="1"/>
    <col min="8430" max="8430" width="26.5" style="3" customWidth="1"/>
    <col min="8431" max="8431" width="6.125" style="3" customWidth="1"/>
    <col min="8432" max="8432" width="10" style="3" customWidth="1"/>
    <col min="8433" max="8433" width="4.5" style="3" bestFit="1" customWidth="1"/>
    <col min="8434" max="8434" width="3.125" style="3" customWidth="1"/>
    <col min="8435" max="8435" width="6" style="3" bestFit="1" customWidth="1"/>
    <col min="8436" max="8436" width="5.5" style="3" bestFit="1" customWidth="1"/>
    <col min="8437" max="8679" width="11" style="3"/>
    <col min="8680" max="8680" width="2.5" style="3" bestFit="1" customWidth="1"/>
    <col min="8681" max="8681" width="65.625" style="3" customWidth="1"/>
    <col min="8682" max="8682" width="22" style="3" customWidth="1"/>
    <col min="8683" max="8683" width="19.375" style="3" customWidth="1"/>
    <col min="8684" max="8684" width="19.5" style="3" bestFit="1" customWidth="1"/>
    <col min="8685" max="8685" width="17.875" style="3" bestFit="1" customWidth="1"/>
    <col min="8686" max="8686" width="26.5" style="3" customWidth="1"/>
    <col min="8687" max="8687" width="6.125" style="3" customWidth="1"/>
    <col min="8688" max="8688" width="10" style="3" customWidth="1"/>
    <col min="8689" max="8689" width="4.5" style="3" bestFit="1" customWidth="1"/>
    <col min="8690" max="8690" width="3.125" style="3" customWidth="1"/>
    <col min="8691" max="8691" width="6" style="3" bestFit="1" customWidth="1"/>
    <col min="8692" max="8692" width="5.5" style="3" bestFit="1" customWidth="1"/>
    <col min="8693" max="8935" width="11" style="3"/>
    <col min="8936" max="8936" width="2.5" style="3" bestFit="1" customWidth="1"/>
    <col min="8937" max="8937" width="65.625" style="3" customWidth="1"/>
    <col min="8938" max="8938" width="22" style="3" customWidth="1"/>
    <col min="8939" max="8939" width="19.375" style="3" customWidth="1"/>
    <col min="8940" max="8940" width="19.5" style="3" bestFit="1" customWidth="1"/>
    <col min="8941" max="8941" width="17.875" style="3" bestFit="1" customWidth="1"/>
    <col min="8942" max="8942" width="26.5" style="3" customWidth="1"/>
    <col min="8943" max="8943" width="6.125" style="3" customWidth="1"/>
    <col min="8944" max="8944" width="10" style="3" customWidth="1"/>
    <col min="8945" max="8945" width="4.5" style="3" bestFit="1" customWidth="1"/>
    <col min="8946" max="8946" width="3.125" style="3" customWidth="1"/>
    <col min="8947" max="8947" width="6" style="3" bestFit="1" customWidth="1"/>
    <col min="8948" max="8948" width="5.5" style="3" bestFit="1" customWidth="1"/>
    <col min="8949" max="9191" width="11" style="3"/>
    <col min="9192" max="9192" width="2.5" style="3" bestFit="1" customWidth="1"/>
    <col min="9193" max="9193" width="65.625" style="3" customWidth="1"/>
    <col min="9194" max="9194" width="22" style="3" customWidth="1"/>
    <col min="9195" max="9195" width="19.375" style="3" customWidth="1"/>
    <col min="9196" max="9196" width="19.5" style="3" bestFit="1" customWidth="1"/>
    <col min="9197" max="9197" width="17.875" style="3" bestFit="1" customWidth="1"/>
    <col min="9198" max="9198" width="26.5" style="3" customWidth="1"/>
    <col min="9199" max="9199" width="6.125" style="3" customWidth="1"/>
    <col min="9200" max="9200" width="10" style="3" customWidth="1"/>
    <col min="9201" max="9201" width="4.5" style="3" bestFit="1" customWidth="1"/>
    <col min="9202" max="9202" width="3.125" style="3" customWidth="1"/>
    <col min="9203" max="9203" width="6" style="3" bestFit="1" customWidth="1"/>
    <col min="9204" max="9204" width="5.5" style="3" bestFit="1" customWidth="1"/>
    <col min="9205" max="9447" width="11" style="3"/>
    <col min="9448" max="9448" width="2.5" style="3" bestFit="1" customWidth="1"/>
    <col min="9449" max="9449" width="65.625" style="3" customWidth="1"/>
    <col min="9450" max="9450" width="22" style="3" customWidth="1"/>
    <col min="9451" max="9451" width="19.375" style="3" customWidth="1"/>
    <col min="9452" max="9452" width="19.5" style="3" bestFit="1" customWidth="1"/>
    <col min="9453" max="9453" width="17.875" style="3" bestFit="1" customWidth="1"/>
    <col min="9454" max="9454" width="26.5" style="3" customWidth="1"/>
    <col min="9455" max="9455" width="6.125" style="3" customWidth="1"/>
    <col min="9456" max="9456" width="10" style="3" customWidth="1"/>
    <col min="9457" max="9457" width="4.5" style="3" bestFit="1" customWidth="1"/>
    <col min="9458" max="9458" width="3.125" style="3" customWidth="1"/>
    <col min="9459" max="9459" width="6" style="3" bestFit="1" customWidth="1"/>
    <col min="9460" max="9460" width="5.5" style="3" bestFit="1" customWidth="1"/>
    <col min="9461" max="9703" width="11" style="3"/>
    <col min="9704" max="9704" width="2.5" style="3" bestFit="1" customWidth="1"/>
    <col min="9705" max="9705" width="65.625" style="3" customWidth="1"/>
    <col min="9706" max="9706" width="22" style="3" customWidth="1"/>
    <col min="9707" max="9707" width="19.375" style="3" customWidth="1"/>
    <col min="9708" max="9708" width="19.5" style="3" bestFit="1" customWidth="1"/>
    <col min="9709" max="9709" width="17.875" style="3" bestFit="1" customWidth="1"/>
    <col min="9710" max="9710" width="26.5" style="3" customWidth="1"/>
    <col min="9711" max="9711" width="6.125" style="3" customWidth="1"/>
    <col min="9712" max="9712" width="10" style="3" customWidth="1"/>
    <col min="9713" max="9713" width="4.5" style="3" bestFit="1" customWidth="1"/>
    <col min="9714" max="9714" width="3.125" style="3" customWidth="1"/>
    <col min="9715" max="9715" width="6" style="3" bestFit="1" customWidth="1"/>
    <col min="9716" max="9716" width="5.5" style="3" bestFit="1" customWidth="1"/>
    <col min="9717" max="9959" width="11" style="3"/>
    <col min="9960" max="9960" width="2.5" style="3" bestFit="1" customWidth="1"/>
    <col min="9961" max="9961" width="65.625" style="3" customWidth="1"/>
    <col min="9962" max="9962" width="22" style="3" customWidth="1"/>
    <col min="9963" max="9963" width="19.375" style="3" customWidth="1"/>
    <col min="9964" max="9964" width="19.5" style="3" bestFit="1" customWidth="1"/>
    <col min="9965" max="9965" width="17.875" style="3" bestFit="1" customWidth="1"/>
    <col min="9966" max="9966" width="26.5" style="3" customWidth="1"/>
    <col min="9967" max="9967" width="6.125" style="3" customWidth="1"/>
    <col min="9968" max="9968" width="10" style="3" customWidth="1"/>
    <col min="9969" max="9969" width="4.5" style="3" bestFit="1" customWidth="1"/>
    <col min="9970" max="9970" width="3.125" style="3" customWidth="1"/>
    <col min="9971" max="9971" width="6" style="3" bestFit="1" customWidth="1"/>
    <col min="9972" max="9972" width="5.5" style="3" bestFit="1" customWidth="1"/>
    <col min="9973" max="10215" width="11" style="3"/>
    <col min="10216" max="10216" width="2.5" style="3" bestFit="1" customWidth="1"/>
    <col min="10217" max="10217" width="65.625" style="3" customWidth="1"/>
    <col min="10218" max="10218" width="22" style="3" customWidth="1"/>
    <col min="10219" max="10219" width="19.375" style="3" customWidth="1"/>
    <col min="10220" max="10220" width="19.5" style="3" bestFit="1" customWidth="1"/>
    <col min="10221" max="10221" width="17.875" style="3" bestFit="1" customWidth="1"/>
    <col min="10222" max="10222" width="26.5" style="3" customWidth="1"/>
    <col min="10223" max="10223" width="6.125" style="3" customWidth="1"/>
    <col min="10224" max="10224" width="10" style="3" customWidth="1"/>
    <col min="10225" max="10225" width="4.5" style="3" bestFit="1" customWidth="1"/>
    <col min="10226" max="10226" width="3.125" style="3" customWidth="1"/>
    <col min="10227" max="10227" width="6" style="3" bestFit="1" customWidth="1"/>
    <col min="10228" max="10228" width="5.5" style="3" bestFit="1" customWidth="1"/>
    <col min="10229" max="10471" width="11" style="3"/>
    <col min="10472" max="10472" width="2.5" style="3" bestFit="1" customWidth="1"/>
    <col min="10473" max="10473" width="65.625" style="3" customWidth="1"/>
    <col min="10474" max="10474" width="22" style="3" customWidth="1"/>
    <col min="10475" max="10475" width="19.375" style="3" customWidth="1"/>
    <col min="10476" max="10476" width="19.5" style="3" bestFit="1" customWidth="1"/>
    <col min="10477" max="10477" width="17.875" style="3" bestFit="1" customWidth="1"/>
    <col min="10478" max="10478" width="26.5" style="3" customWidth="1"/>
    <col min="10479" max="10479" width="6.125" style="3" customWidth="1"/>
    <col min="10480" max="10480" width="10" style="3" customWidth="1"/>
    <col min="10481" max="10481" width="4.5" style="3" bestFit="1" customWidth="1"/>
    <col min="10482" max="10482" width="3.125" style="3" customWidth="1"/>
    <col min="10483" max="10483" width="6" style="3" bestFit="1" customWidth="1"/>
    <col min="10484" max="10484" width="5.5" style="3" bestFit="1" customWidth="1"/>
    <col min="10485" max="10727" width="11" style="3"/>
    <col min="10728" max="10728" width="2.5" style="3" bestFit="1" customWidth="1"/>
    <col min="10729" max="10729" width="65.625" style="3" customWidth="1"/>
    <col min="10730" max="10730" width="22" style="3" customWidth="1"/>
    <col min="10731" max="10731" width="19.375" style="3" customWidth="1"/>
    <col min="10732" max="10732" width="19.5" style="3" bestFit="1" customWidth="1"/>
    <col min="10733" max="10733" width="17.875" style="3" bestFit="1" customWidth="1"/>
    <col min="10734" max="10734" width="26.5" style="3" customWidth="1"/>
    <col min="10735" max="10735" width="6.125" style="3" customWidth="1"/>
    <col min="10736" max="10736" width="10" style="3" customWidth="1"/>
    <col min="10737" max="10737" width="4.5" style="3" bestFit="1" customWidth="1"/>
    <col min="10738" max="10738" width="3.125" style="3" customWidth="1"/>
    <col min="10739" max="10739" width="6" style="3" bestFit="1" customWidth="1"/>
    <col min="10740" max="10740" width="5.5" style="3" bestFit="1" customWidth="1"/>
    <col min="10741" max="10983" width="11" style="3"/>
    <col min="10984" max="10984" width="2.5" style="3" bestFit="1" customWidth="1"/>
    <col min="10985" max="10985" width="65.625" style="3" customWidth="1"/>
    <col min="10986" max="10986" width="22" style="3" customWidth="1"/>
    <col min="10987" max="10987" width="19.375" style="3" customWidth="1"/>
    <col min="10988" max="10988" width="19.5" style="3" bestFit="1" customWidth="1"/>
    <col min="10989" max="10989" width="17.875" style="3" bestFit="1" customWidth="1"/>
    <col min="10990" max="10990" width="26.5" style="3" customWidth="1"/>
    <col min="10991" max="10991" width="6.125" style="3" customWidth="1"/>
    <col min="10992" max="10992" width="10" style="3" customWidth="1"/>
    <col min="10993" max="10993" width="4.5" style="3" bestFit="1" customWidth="1"/>
    <col min="10994" max="10994" width="3.125" style="3" customWidth="1"/>
    <col min="10995" max="10995" width="6" style="3" bestFit="1" customWidth="1"/>
    <col min="10996" max="10996" width="5.5" style="3" bestFit="1" customWidth="1"/>
    <col min="10997" max="11239" width="11" style="3"/>
    <col min="11240" max="11240" width="2.5" style="3" bestFit="1" customWidth="1"/>
    <col min="11241" max="11241" width="65.625" style="3" customWidth="1"/>
    <col min="11242" max="11242" width="22" style="3" customWidth="1"/>
    <col min="11243" max="11243" width="19.375" style="3" customWidth="1"/>
    <col min="11244" max="11244" width="19.5" style="3" bestFit="1" customWidth="1"/>
    <col min="11245" max="11245" width="17.875" style="3" bestFit="1" customWidth="1"/>
    <col min="11246" max="11246" width="26.5" style="3" customWidth="1"/>
    <col min="11247" max="11247" width="6.125" style="3" customWidth="1"/>
    <col min="11248" max="11248" width="10" style="3" customWidth="1"/>
    <col min="11249" max="11249" width="4.5" style="3" bestFit="1" customWidth="1"/>
    <col min="11250" max="11250" width="3.125" style="3" customWidth="1"/>
    <col min="11251" max="11251" width="6" style="3" bestFit="1" customWidth="1"/>
    <col min="11252" max="11252" width="5.5" style="3" bestFit="1" customWidth="1"/>
    <col min="11253" max="11495" width="11" style="3"/>
    <col min="11496" max="11496" width="2.5" style="3" bestFit="1" customWidth="1"/>
    <col min="11497" max="11497" width="65.625" style="3" customWidth="1"/>
    <col min="11498" max="11498" width="22" style="3" customWidth="1"/>
    <col min="11499" max="11499" width="19.375" style="3" customWidth="1"/>
    <col min="11500" max="11500" width="19.5" style="3" bestFit="1" customWidth="1"/>
    <col min="11501" max="11501" width="17.875" style="3" bestFit="1" customWidth="1"/>
    <col min="11502" max="11502" width="26.5" style="3" customWidth="1"/>
    <col min="11503" max="11503" width="6.125" style="3" customWidth="1"/>
    <col min="11504" max="11504" width="10" style="3" customWidth="1"/>
    <col min="11505" max="11505" width="4.5" style="3" bestFit="1" customWidth="1"/>
    <col min="11506" max="11506" width="3.125" style="3" customWidth="1"/>
    <col min="11507" max="11507" width="6" style="3" bestFit="1" customWidth="1"/>
    <col min="11508" max="11508" width="5.5" style="3" bestFit="1" customWidth="1"/>
    <col min="11509" max="11751" width="11" style="3"/>
    <col min="11752" max="11752" width="2.5" style="3" bestFit="1" customWidth="1"/>
    <col min="11753" max="11753" width="65.625" style="3" customWidth="1"/>
    <col min="11754" max="11754" width="22" style="3" customWidth="1"/>
    <col min="11755" max="11755" width="19.375" style="3" customWidth="1"/>
    <col min="11756" max="11756" width="19.5" style="3" bestFit="1" customWidth="1"/>
    <col min="11757" max="11757" width="17.875" style="3" bestFit="1" customWidth="1"/>
    <col min="11758" max="11758" width="26.5" style="3" customWidth="1"/>
    <col min="11759" max="11759" width="6.125" style="3" customWidth="1"/>
    <col min="11760" max="11760" width="10" style="3" customWidth="1"/>
    <col min="11761" max="11761" width="4.5" style="3" bestFit="1" customWidth="1"/>
    <col min="11762" max="11762" width="3.125" style="3" customWidth="1"/>
    <col min="11763" max="11763" width="6" style="3" bestFit="1" customWidth="1"/>
    <col min="11764" max="11764" width="5.5" style="3" bestFit="1" customWidth="1"/>
    <col min="11765" max="12007" width="11" style="3"/>
    <col min="12008" max="12008" width="2.5" style="3" bestFit="1" customWidth="1"/>
    <col min="12009" max="12009" width="65.625" style="3" customWidth="1"/>
    <col min="12010" max="12010" width="22" style="3" customWidth="1"/>
    <col min="12011" max="12011" width="19.375" style="3" customWidth="1"/>
    <col min="12012" max="12012" width="19.5" style="3" bestFit="1" customWidth="1"/>
    <col min="12013" max="12013" width="17.875" style="3" bestFit="1" customWidth="1"/>
    <col min="12014" max="12014" width="26.5" style="3" customWidth="1"/>
    <col min="12015" max="12015" width="6.125" style="3" customWidth="1"/>
    <col min="12016" max="12016" width="10" style="3" customWidth="1"/>
    <col min="12017" max="12017" width="4.5" style="3" bestFit="1" customWidth="1"/>
    <col min="12018" max="12018" width="3.125" style="3" customWidth="1"/>
    <col min="12019" max="12019" width="6" style="3" bestFit="1" customWidth="1"/>
    <col min="12020" max="12020" width="5.5" style="3" bestFit="1" customWidth="1"/>
    <col min="12021" max="12263" width="11" style="3"/>
    <col min="12264" max="12264" width="2.5" style="3" bestFit="1" customWidth="1"/>
    <col min="12265" max="12265" width="65.625" style="3" customWidth="1"/>
    <col min="12266" max="12266" width="22" style="3" customWidth="1"/>
    <col min="12267" max="12267" width="19.375" style="3" customWidth="1"/>
    <col min="12268" max="12268" width="19.5" style="3" bestFit="1" customWidth="1"/>
    <col min="12269" max="12269" width="17.875" style="3" bestFit="1" customWidth="1"/>
    <col min="12270" max="12270" width="26.5" style="3" customWidth="1"/>
    <col min="12271" max="12271" width="6.125" style="3" customWidth="1"/>
    <col min="12272" max="12272" width="10" style="3" customWidth="1"/>
    <col min="12273" max="12273" width="4.5" style="3" bestFit="1" customWidth="1"/>
    <col min="12274" max="12274" width="3.125" style="3" customWidth="1"/>
    <col min="12275" max="12275" width="6" style="3" bestFit="1" customWidth="1"/>
    <col min="12276" max="12276" width="5.5" style="3" bestFit="1" customWidth="1"/>
    <col min="12277" max="12519" width="11" style="3"/>
    <col min="12520" max="12520" width="2.5" style="3" bestFit="1" customWidth="1"/>
    <col min="12521" max="12521" width="65.625" style="3" customWidth="1"/>
    <col min="12522" max="12522" width="22" style="3" customWidth="1"/>
    <col min="12523" max="12523" width="19.375" style="3" customWidth="1"/>
    <col min="12524" max="12524" width="19.5" style="3" bestFit="1" customWidth="1"/>
    <col min="12525" max="12525" width="17.875" style="3" bestFit="1" customWidth="1"/>
    <col min="12526" max="12526" width="26.5" style="3" customWidth="1"/>
    <col min="12527" max="12527" width="6.125" style="3" customWidth="1"/>
    <col min="12528" max="12528" width="10" style="3" customWidth="1"/>
    <col min="12529" max="12529" width="4.5" style="3" bestFit="1" customWidth="1"/>
    <col min="12530" max="12530" width="3.125" style="3" customWidth="1"/>
    <col min="12531" max="12531" width="6" style="3" bestFit="1" customWidth="1"/>
    <col min="12532" max="12532" width="5.5" style="3" bestFit="1" customWidth="1"/>
    <col min="12533" max="12775" width="11" style="3"/>
    <col min="12776" max="12776" width="2.5" style="3" bestFit="1" customWidth="1"/>
    <col min="12777" max="12777" width="65.625" style="3" customWidth="1"/>
    <col min="12778" max="12778" width="22" style="3" customWidth="1"/>
    <col min="12779" max="12779" width="19.375" style="3" customWidth="1"/>
    <col min="12780" max="12780" width="19.5" style="3" bestFit="1" customWidth="1"/>
    <col min="12781" max="12781" width="17.875" style="3" bestFit="1" customWidth="1"/>
    <col min="12782" max="12782" width="26.5" style="3" customWidth="1"/>
    <col min="12783" max="12783" width="6.125" style="3" customWidth="1"/>
    <col min="12784" max="12784" width="10" style="3" customWidth="1"/>
    <col min="12785" max="12785" width="4.5" style="3" bestFit="1" customWidth="1"/>
    <col min="12786" max="12786" width="3.125" style="3" customWidth="1"/>
    <col min="12787" max="12787" width="6" style="3" bestFit="1" customWidth="1"/>
    <col min="12788" max="12788" width="5.5" style="3" bestFit="1" customWidth="1"/>
    <col min="12789" max="13031" width="11" style="3"/>
    <col min="13032" max="13032" width="2.5" style="3" bestFit="1" customWidth="1"/>
    <col min="13033" max="13033" width="65.625" style="3" customWidth="1"/>
    <col min="13034" max="13034" width="22" style="3" customWidth="1"/>
    <col min="13035" max="13035" width="19.375" style="3" customWidth="1"/>
    <col min="13036" max="13036" width="19.5" style="3" bestFit="1" customWidth="1"/>
    <col min="13037" max="13037" width="17.875" style="3" bestFit="1" customWidth="1"/>
    <col min="13038" max="13038" width="26.5" style="3" customWidth="1"/>
    <col min="13039" max="13039" width="6.125" style="3" customWidth="1"/>
    <col min="13040" max="13040" width="10" style="3" customWidth="1"/>
    <col min="13041" max="13041" width="4.5" style="3" bestFit="1" customWidth="1"/>
    <col min="13042" max="13042" width="3.125" style="3" customWidth="1"/>
    <col min="13043" max="13043" width="6" style="3" bestFit="1" customWidth="1"/>
    <col min="13044" max="13044" width="5.5" style="3" bestFit="1" customWidth="1"/>
    <col min="13045" max="13287" width="11" style="3"/>
    <col min="13288" max="13288" width="2.5" style="3" bestFit="1" customWidth="1"/>
    <col min="13289" max="13289" width="65.625" style="3" customWidth="1"/>
    <col min="13290" max="13290" width="22" style="3" customWidth="1"/>
    <col min="13291" max="13291" width="19.375" style="3" customWidth="1"/>
    <col min="13292" max="13292" width="19.5" style="3" bestFit="1" customWidth="1"/>
    <col min="13293" max="13293" width="17.875" style="3" bestFit="1" customWidth="1"/>
    <col min="13294" max="13294" width="26.5" style="3" customWidth="1"/>
    <col min="13295" max="13295" width="6.125" style="3" customWidth="1"/>
    <col min="13296" max="13296" width="10" style="3" customWidth="1"/>
    <col min="13297" max="13297" width="4.5" style="3" bestFit="1" customWidth="1"/>
    <col min="13298" max="13298" width="3.125" style="3" customWidth="1"/>
    <col min="13299" max="13299" width="6" style="3" bestFit="1" customWidth="1"/>
    <col min="13300" max="13300" width="5.5" style="3" bestFit="1" customWidth="1"/>
    <col min="13301" max="13543" width="11" style="3"/>
    <col min="13544" max="13544" width="2.5" style="3" bestFit="1" customWidth="1"/>
    <col min="13545" max="13545" width="65.625" style="3" customWidth="1"/>
    <col min="13546" max="13546" width="22" style="3" customWidth="1"/>
    <col min="13547" max="13547" width="19.375" style="3" customWidth="1"/>
    <col min="13548" max="13548" width="19.5" style="3" bestFit="1" customWidth="1"/>
    <col min="13549" max="13549" width="17.875" style="3" bestFit="1" customWidth="1"/>
    <col min="13550" max="13550" width="26.5" style="3" customWidth="1"/>
    <col min="13551" max="13551" width="6.125" style="3" customWidth="1"/>
    <col min="13552" max="13552" width="10" style="3" customWidth="1"/>
    <col min="13553" max="13553" width="4.5" style="3" bestFit="1" customWidth="1"/>
    <col min="13554" max="13554" width="3.125" style="3" customWidth="1"/>
    <col min="13555" max="13555" width="6" style="3" bestFit="1" customWidth="1"/>
    <col min="13556" max="13556" width="5.5" style="3" bestFit="1" customWidth="1"/>
    <col min="13557" max="13799" width="11" style="3"/>
    <col min="13800" max="13800" width="2.5" style="3" bestFit="1" customWidth="1"/>
    <col min="13801" max="13801" width="65.625" style="3" customWidth="1"/>
    <col min="13802" max="13802" width="22" style="3" customWidth="1"/>
    <col min="13803" max="13803" width="19.375" style="3" customWidth="1"/>
    <col min="13804" max="13804" width="19.5" style="3" bestFit="1" customWidth="1"/>
    <col min="13805" max="13805" width="17.875" style="3" bestFit="1" customWidth="1"/>
    <col min="13806" max="13806" width="26.5" style="3" customWidth="1"/>
    <col min="13807" max="13807" width="6.125" style="3" customWidth="1"/>
    <col min="13808" max="13808" width="10" style="3" customWidth="1"/>
    <col min="13809" max="13809" width="4.5" style="3" bestFit="1" customWidth="1"/>
    <col min="13810" max="13810" width="3.125" style="3" customWidth="1"/>
    <col min="13811" max="13811" width="6" style="3" bestFit="1" customWidth="1"/>
    <col min="13812" max="13812" width="5.5" style="3" bestFit="1" customWidth="1"/>
    <col min="13813" max="14055" width="11" style="3"/>
    <col min="14056" max="14056" width="2.5" style="3" bestFit="1" customWidth="1"/>
    <col min="14057" max="14057" width="65.625" style="3" customWidth="1"/>
    <col min="14058" max="14058" width="22" style="3" customWidth="1"/>
    <col min="14059" max="14059" width="19.375" style="3" customWidth="1"/>
    <col min="14060" max="14060" width="19.5" style="3" bestFit="1" customWidth="1"/>
    <col min="14061" max="14061" width="17.875" style="3" bestFit="1" customWidth="1"/>
    <col min="14062" max="14062" width="26.5" style="3" customWidth="1"/>
    <col min="14063" max="14063" width="6.125" style="3" customWidth="1"/>
    <col min="14064" max="14064" width="10" style="3" customWidth="1"/>
    <col min="14065" max="14065" width="4.5" style="3" bestFit="1" customWidth="1"/>
    <col min="14066" max="14066" width="3.125" style="3" customWidth="1"/>
    <col min="14067" max="14067" width="6" style="3" bestFit="1" customWidth="1"/>
    <col min="14068" max="14068" width="5.5" style="3" bestFit="1" customWidth="1"/>
    <col min="14069" max="14311" width="11" style="3"/>
    <col min="14312" max="14312" width="2.5" style="3" bestFit="1" customWidth="1"/>
    <col min="14313" max="14313" width="65.625" style="3" customWidth="1"/>
    <col min="14314" max="14314" width="22" style="3" customWidth="1"/>
    <col min="14315" max="14315" width="19.375" style="3" customWidth="1"/>
    <col min="14316" max="14316" width="19.5" style="3" bestFit="1" customWidth="1"/>
    <col min="14317" max="14317" width="17.875" style="3" bestFit="1" customWidth="1"/>
    <col min="14318" max="14318" width="26.5" style="3" customWidth="1"/>
    <col min="14319" max="14319" width="6.125" style="3" customWidth="1"/>
    <col min="14320" max="14320" width="10" style="3" customWidth="1"/>
    <col min="14321" max="14321" width="4.5" style="3" bestFit="1" customWidth="1"/>
    <col min="14322" max="14322" width="3.125" style="3" customWidth="1"/>
    <col min="14323" max="14323" width="6" style="3" bestFit="1" customWidth="1"/>
    <col min="14324" max="14324" width="5.5" style="3" bestFit="1" customWidth="1"/>
    <col min="14325" max="14567" width="11" style="3"/>
    <col min="14568" max="14568" width="2.5" style="3" bestFit="1" customWidth="1"/>
    <col min="14569" max="14569" width="65.625" style="3" customWidth="1"/>
    <col min="14570" max="14570" width="22" style="3" customWidth="1"/>
    <col min="14571" max="14571" width="19.375" style="3" customWidth="1"/>
    <col min="14572" max="14572" width="19.5" style="3" bestFit="1" customWidth="1"/>
    <col min="14573" max="14573" width="17.875" style="3" bestFit="1" customWidth="1"/>
    <col min="14574" max="14574" width="26.5" style="3" customWidth="1"/>
    <col min="14575" max="14575" width="6.125" style="3" customWidth="1"/>
    <col min="14576" max="14576" width="10" style="3" customWidth="1"/>
    <col min="14577" max="14577" width="4.5" style="3" bestFit="1" customWidth="1"/>
    <col min="14578" max="14578" width="3.125" style="3" customWidth="1"/>
    <col min="14579" max="14579" width="6" style="3" bestFit="1" customWidth="1"/>
    <col min="14580" max="14580" width="5.5" style="3" bestFit="1" customWidth="1"/>
    <col min="14581" max="14823" width="11" style="3"/>
    <col min="14824" max="14824" width="2.5" style="3" bestFit="1" customWidth="1"/>
    <col min="14825" max="14825" width="65.625" style="3" customWidth="1"/>
    <col min="14826" max="14826" width="22" style="3" customWidth="1"/>
    <col min="14827" max="14827" width="19.375" style="3" customWidth="1"/>
    <col min="14828" max="14828" width="19.5" style="3" bestFit="1" customWidth="1"/>
    <col min="14829" max="14829" width="17.875" style="3" bestFit="1" customWidth="1"/>
    <col min="14830" max="14830" width="26.5" style="3" customWidth="1"/>
    <col min="14831" max="14831" width="6.125" style="3" customWidth="1"/>
    <col min="14832" max="14832" width="10" style="3" customWidth="1"/>
    <col min="14833" max="14833" width="4.5" style="3" bestFit="1" customWidth="1"/>
    <col min="14834" max="14834" width="3.125" style="3" customWidth="1"/>
    <col min="14835" max="14835" width="6" style="3" bestFit="1" customWidth="1"/>
    <col min="14836" max="14836" width="5.5" style="3" bestFit="1" customWidth="1"/>
    <col min="14837" max="15079" width="11" style="3"/>
    <col min="15080" max="15080" width="2.5" style="3" bestFit="1" customWidth="1"/>
    <col min="15081" max="15081" width="65.625" style="3" customWidth="1"/>
    <col min="15082" max="15082" width="22" style="3" customWidth="1"/>
    <col min="15083" max="15083" width="19.375" style="3" customWidth="1"/>
    <col min="15084" max="15084" width="19.5" style="3" bestFit="1" customWidth="1"/>
    <col min="15085" max="15085" width="17.875" style="3" bestFit="1" customWidth="1"/>
    <col min="15086" max="15086" width="26.5" style="3" customWidth="1"/>
    <col min="15087" max="15087" width="6.125" style="3" customWidth="1"/>
    <col min="15088" max="15088" width="10" style="3" customWidth="1"/>
    <col min="15089" max="15089" width="4.5" style="3" bestFit="1" customWidth="1"/>
    <col min="15090" max="15090" width="3.125" style="3" customWidth="1"/>
    <col min="15091" max="15091" width="6" style="3" bestFit="1" customWidth="1"/>
    <col min="15092" max="15092" width="5.5" style="3" bestFit="1" customWidth="1"/>
    <col min="15093" max="15335" width="11" style="3"/>
    <col min="15336" max="15336" width="2.5" style="3" bestFit="1" customWidth="1"/>
    <col min="15337" max="15337" width="65.625" style="3" customWidth="1"/>
    <col min="15338" max="15338" width="22" style="3" customWidth="1"/>
    <col min="15339" max="15339" width="19.375" style="3" customWidth="1"/>
    <col min="15340" max="15340" width="19.5" style="3" bestFit="1" customWidth="1"/>
    <col min="15341" max="15341" width="17.875" style="3" bestFit="1" customWidth="1"/>
    <col min="15342" max="15342" width="26.5" style="3" customWidth="1"/>
    <col min="15343" max="15343" width="6.125" style="3" customWidth="1"/>
    <col min="15344" max="15344" width="10" style="3" customWidth="1"/>
    <col min="15345" max="15345" width="4.5" style="3" bestFit="1" customWidth="1"/>
    <col min="15346" max="15346" width="3.125" style="3" customWidth="1"/>
    <col min="15347" max="15347" width="6" style="3" bestFit="1" customWidth="1"/>
    <col min="15348" max="15348" width="5.5" style="3" bestFit="1" customWidth="1"/>
    <col min="15349" max="15591" width="11" style="3"/>
    <col min="15592" max="15592" width="2.5" style="3" bestFit="1" customWidth="1"/>
    <col min="15593" max="15593" width="65.625" style="3" customWidth="1"/>
    <col min="15594" max="15594" width="22" style="3" customWidth="1"/>
    <col min="15595" max="15595" width="19.375" style="3" customWidth="1"/>
    <col min="15596" max="15596" width="19.5" style="3" bestFit="1" customWidth="1"/>
    <col min="15597" max="15597" width="17.875" style="3" bestFit="1" customWidth="1"/>
    <col min="15598" max="15598" width="26.5" style="3" customWidth="1"/>
    <col min="15599" max="15599" width="6.125" style="3" customWidth="1"/>
    <col min="15600" max="15600" width="10" style="3" customWidth="1"/>
    <col min="15601" max="15601" width="4.5" style="3" bestFit="1" customWidth="1"/>
    <col min="15602" max="15602" width="3.125" style="3" customWidth="1"/>
    <col min="15603" max="15603" width="6" style="3" bestFit="1" customWidth="1"/>
    <col min="15604" max="15604" width="5.5" style="3" bestFit="1" customWidth="1"/>
    <col min="15605" max="15847" width="11" style="3"/>
    <col min="15848" max="15848" width="2.5" style="3" bestFit="1" customWidth="1"/>
    <col min="15849" max="15849" width="65.625" style="3" customWidth="1"/>
    <col min="15850" max="15850" width="22" style="3" customWidth="1"/>
    <col min="15851" max="15851" width="19.375" style="3" customWidth="1"/>
    <col min="15852" max="15852" width="19.5" style="3" bestFit="1" customWidth="1"/>
    <col min="15853" max="15853" width="17.875" style="3" bestFit="1" customWidth="1"/>
    <col min="15854" max="15854" width="26.5" style="3" customWidth="1"/>
    <col min="15855" max="15855" width="6.125" style="3" customWidth="1"/>
    <col min="15856" max="15856" width="10" style="3" customWidth="1"/>
    <col min="15857" max="15857" width="4.5" style="3" bestFit="1" customWidth="1"/>
    <col min="15858" max="15858" width="3.125" style="3" customWidth="1"/>
    <col min="15859" max="15859" width="6" style="3" bestFit="1" customWidth="1"/>
    <col min="15860" max="15860" width="5.5" style="3" bestFit="1" customWidth="1"/>
    <col min="15861" max="16103" width="11" style="3"/>
    <col min="16104" max="16104" width="2.5" style="3" bestFit="1" customWidth="1"/>
    <col min="16105" max="16105" width="65.625" style="3" customWidth="1"/>
    <col min="16106" max="16106" width="22" style="3" customWidth="1"/>
    <col min="16107" max="16107" width="19.375" style="3" customWidth="1"/>
    <col min="16108" max="16108" width="19.5" style="3" bestFit="1" customWidth="1"/>
    <col min="16109" max="16109" width="17.875" style="3" bestFit="1" customWidth="1"/>
    <col min="16110" max="16110" width="26.5" style="3" customWidth="1"/>
    <col min="16111" max="16111" width="6.125" style="3" customWidth="1"/>
    <col min="16112" max="16112" width="10" style="3" customWidth="1"/>
    <col min="16113" max="16113" width="4.5" style="3" bestFit="1" customWidth="1"/>
    <col min="16114" max="16114" width="3.125" style="3" customWidth="1"/>
    <col min="16115" max="16115" width="6" style="3" bestFit="1" customWidth="1"/>
    <col min="16116" max="16116" width="5.5" style="3" bestFit="1" customWidth="1"/>
    <col min="16117" max="16384" width="11" style="3"/>
  </cols>
  <sheetData>
    <row r="1" spans="1:11" ht="34.9" customHeight="1" x14ac:dyDescent="0.2">
      <c r="A1" s="1"/>
      <c r="B1" s="36" t="s">
        <v>50</v>
      </c>
      <c r="C1" s="36"/>
    </row>
    <row r="2" spans="1:11" x14ac:dyDescent="0.2">
      <c r="A2" s="1"/>
      <c r="B2" s="1"/>
      <c r="C2" s="2"/>
    </row>
    <row r="3" spans="1:11" x14ac:dyDescent="0.2">
      <c r="A3" s="4" t="s">
        <v>0</v>
      </c>
      <c r="B3" s="5" t="s">
        <v>31</v>
      </c>
      <c r="C3" s="5" t="s">
        <v>41</v>
      </c>
    </row>
    <row r="4" spans="1:11" x14ac:dyDescent="0.2">
      <c r="A4" s="6"/>
      <c r="B4" s="6" t="s">
        <v>46</v>
      </c>
      <c r="C4" s="7">
        <f>60000/30</f>
        <v>2000</v>
      </c>
    </row>
    <row r="5" spans="1:11" x14ac:dyDescent="0.2">
      <c r="A5" s="8"/>
      <c r="B5" s="9" t="s">
        <v>8</v>
      </c>
      <c r="C5" s="7">
        <f>650000/12/30</f>
        <v>1805.5555555555554</v>
      </c>
    </row>
    <row r="6" spans="1:11" x14ac:dyDescent="0.2">
      <c r="A6" s="6"/>
      <c r="B6" s="9" t="s">
        <v>6</v>
      </c>
      <c r="C6" s="7">
        <f>371000/12/30</f>
        <v>1030.5555555555557</v>
      </c>
    </row>
    <row r="7" spans="1:11" x14ac:dyDescent="0.2">
      <c r="A7" s="6"/>
      <c r="B7" s="9" t="s">
        <v>7</v>
      </c>
      <c r="C7" s="7">
        <f>371000/12/30</f>
        <v>1030.5555555555557</v>
      </c>
    </row>
    <row r="8" spans="1:11" x14ac:dyDescent="0.2">
      <c r="A8" s="6"/>
      <c r="B8" s="9" t="s">
        <v>9</v>
      </c>
      <c r="C8" s="7">
        <f>250000/12/30</f>
        <v>694.44444444444446</v>
      </c>
    </row>
    <row r="9" spans="1:11" x14ac:dyDescent="0.2">
      <c r="A9" s="6"/>
      <c r="B9" s="9" t="s">
        <v>10</v>
      </c>
      <c r="C9" s="7">
        <f>120000/12/30</f>
        <v>333.33333333333331</v>
      </c>
    </row>
    <row r="10" spans="1:11" x14ac:dyDescent="0.2">
      <c r="A10" s="6"/>
      <c r="B10" s="9" t="s">
        <v>11</v>
      </c>
      <c r="C10" s="7">
        <f>50000/30</f>
        <v>1666.6666666666667</v>
      </c>
      <c r="G10" s="20"/>
      <c r="I10" s="21"/>
      <c r="J10" s="20"/>
      <c r="K10" s="20"/>
    </row>
    <row r="11" spans="1:11" x14ac:dyDescent="0.2">
      <c r="A11" s="6"/>
      <c r="B11" s="9" t="s">
        <v>12</v>
      </c>
      <c r="C11" s="7">
        <v>20000</v>
      </c>
      <c r="G11" s="20"/>
      <c r="I11" s="37"/>
      <c r="J11" s="20"/>
      <c r="K11" s="20"/>
    </row>
    <row r="12" spans="1:11" x14ac:dyDescent="0.2">
      <c r="A12" s="6"/>
      <c r="B12" s="9" t="s">
        <v>13</v>
      </c>
      <c r="C12" s="7">
        <v>36000</v>
      </c>
      <c r="K12" s="20"/>
    </row>
    <row r="13" spans="1:11" x14ac:dyDescent="0.2">
      <c r="A13" s="6"/>
      <c r="B13" s="9" t="s">
        <v>2</v>
      </c>
      <c r="C13" s="7">
        <v>60000</v>
      </c>
      <c r="G13" s="22"/>
      <c r="H13" s="22"/>
      <c r="I13" s="22"/>
      <c r="J13" s="22"/>
    </row>
    <row r="14" spans="1:11" x14ac:dyDescent="0.2">
      <c r="A14" s="6"/>
      <c r="B14" s="9" t="s">
        <v>22</v>
      </c>
      <c r="C14" s="7">
        <f>700000/30</f>
        <v>23333.333333333332</v>
      </c>
      <c r="G14" s="22"/>
      <c r="H14" s="22"/>
      <c r="I14" s="22"/>
      <c r="J14" s="22"/>
    </row>
    <row r="15" spans="1:11" x14ac:dyDescent="0.2">
      <c r="A15" s="10"/>
      <c r="B15" s="23" t="s">
        <v>3</v>
      </c>
      <c r="C15" s="11">
        <f>SUM(C4:C14)</f>
        <v>147894.44444444444</v>
      </c>
      <c r="G15" s="22"/>
      <c r="H15" s="22"/>
      <c r="I15" s="22"/>
      <c r="J15" s="22"/>
    </row>
    <row r="16" spans="1:11" x14ac:dyDescent="0.2">
      <c r="A16" s="4">
        <v>2</v>
      </c>
      <c r="B16" s="5" t="s">
        <v>4</v>
      </c>
      <c r="G16" s="20"/>
      <c r="I16" s="22"/>
    </row>
    <row r="17" spans="1:9" x14ac:dyDescent="0.2">
      <c r="A17" s="12"/>
      <c r="B17" s="9" t="s">
        <v>5</v>
      </c>
      <c r="C17" s="7">
        <f>900000/30</f>
        <v>30000</v>
      </c>
      <c r="E17" s="18"/>
      <c r="G17" s="20"/>
      <c r="I17" s="22"/>
    </row>
    <row r="18" spans="1:9" x14ac:dyDescent="0.2">
      <c r="A18" s="13"/>
      <c r="B18" s="15" t="s">
        <v>16</v>
      </c>
      <c r="C18" s="7">
        <f>200000/30</f>
        <v>6666.666666666667</v>
      </c>
      <c r="E18" s="18"/>
      <c r="I18" s="22"/>
    </row>
    <row r="19" spans="1:9" x14ac:dyDescent="0.2">
      <c r="A19" s="13"/>
      <c r="B19" s="24" t="s">
        <v>17</v>
      </c>
      <c r="C19" s="17">
        <f>+C18+C17</f>
        <v>36666.666666666664</v>
      </c>
      <c r="E19" s="18"/>
      <c r="G19" s="20"/>
    </row>
    <row r="20" spans="1:9" hidden="1" x14ac:dyDescent="0.2">
      <c r="A20" s="13"/>
      <c r="B20" s="16" t="s">
        <v>15</v>
      </c>
      <c r="C20" s="17">
        <v>2500</v>
      </c>
    </row>
    <row r="21" spans="1:9" x14ac:dyDescent="0.2">
      <c r="A21" s="4">
        <v>3</v>
      </c>
      <c r="B21" s="5" t="s">
        <v>18</v>
      </c>
    </row>
    <row r="22" spans="1:9" x14ac:dyDescent="0.2">
      <c r="A22" s="12"/>
      <c r="B22" s="9" t="s">
        <v>44</v>
      </c>
      <c r="C22" s="7">
        <f>2100000/30</f>
        <v>70000</v>
      </c>
    </row>
    <row r="23" spans="1:9" x14ac:dyDescent="0.2">
      <c r="A23" s="13"/>
      <c r="B23" s="24" t="s">
        <v>19</v>
      </c>
      <c r="C23" s="14">
        <f>+C22</f>
        <v>70000</v>
      </c>
    </row>
    <row r="25" spans="1:9" x14ac:dyDescent="0.2">
      <c r="B25" s="24" t="s">
        <v>43</v>
      </c>
      <c r="C25" s="17">
        <f>+C15+C19+C23</f>
        <v>254561.11111111109</v>
      </c>
    </row>
    <row r="26" spans="1:9" x14ac:dyDescent="0.2">
      <c r="A26" s="19"/>
      <c r="B26" s="19"/>
      <c r="C26" s="19"/>
      <c r="D26" s="18"/>
      <c r="E26" s="25"/>
    </row>
    <row r="27" spans="1:9" s="19" customFormat="1" x14ac:dyDescent="0.2">
      <c r="B27" s="28" t="s">
        <v>20</v>
      </c>
      <c r="C27" s="38">
        <f>+C25</f>
        <v>254561.11111111109</v>
      </c>
      <c r="D27" s="27"/>
    </row>
    <row r="28" spans="1:9" s="19" customFormat="1" x14ac:dyDescent="0.2">
      <c r="B28" s="28"/>
      <c r="C28" s="26"/>
      <c r="D28" s="27"/>
    </row>
    <row r="29" spans="1:9" s="19" customFormat="1" x14ac:dyDescent="0.2">
      <c r="B29" s="29" t="s">
        <v>25</v>
      </c>
      <c r="C29" s="26">
        <f>C39*3.6%</f>
        <v>12220.632000000001</v>
      </c>
      <c r="D29" s="27"/>
    </row>
    <row r="30" spans="1:9" s="19" customFormat="1" x14ac:dyDescent="0.2">
      <c r="B30" s="29" t="s">
        <v>26</v>
      </c>
      <c r="C30" s="26">
        <f>C39*3.5%</f>
        <v>11881.170000000002</v>
      </c>
      <c r="D30" s="27"/>
    </row>
    <row r="31" spans="1:9" s="19" customFormat="1" x14ac:dyDescent="0.2">
      <c r="B31" s="29" t="s">
        <v>27</v>
      </c>
      <c r="C31" s="26">
        <f>C39*4.14/1000</f>
        <v>1405.3726799999999</v>
      </c>
      <c r="D31" s="27"/>
    </row>
    <row r="32" spans="1:9" s="19" customFormat="1" x14ac:dyDescent="0.2">
      <c r="B32" s="24" t="s">
        <v>28</v>
      </c>
      <c r="C32" s="24">
        <f>C29+C30+C31</f>
        <v>25507.174680000004</v>
      </c>
      <c r="D32" s="27"/>
    </row>
    <row r="33" spans="1:7" x14ac:dyDescent="0.2">
      <c r="A33" s="19"/>
      <c r="B33" s="29"/>
      <c r="C33" s="26"/>
      <c r="D33" s="34"/>
    </row>
    <row r="34" spans="1:7" x14ac:dyDescent="0.2">
      <c r="A34" s="19"/>
      <c r="B34" s="29" t="s">
        <v>29</v>
      </c>
      <c r="C34" s="26">
        <f>+C27+C32</f>
        <v>280068.28579111112</v>
      </c>
      <c r="D34" s="34"/>
    </row>
    <row r="35" spans="1:7" x14ac:dyDescent="0.2">
      <c r="A35" s="19"/>
      <c r="B35" s="32" t="s">
        <v>30</v>
      </c>
      <c r="C35" s="33">
        <f>C39-C34</f>
        <v>59393.71420888888</v>
      </c>
      <c r="D35" s="34"/>
      <c r="E35" s="31"/>
      <c r="F35" s="31"/>
      <c r="G35" s="18"/>
    </row>
    <row r="36" spans="1:7" x14ac:dyDescent="0.2">
      <c r="A36" s="19"/>
      <c r="B36" s="30"/>
      <c r="C36" s="26"/>
    </row>
    <row r="37" spans="1:7" x14ac:dyDescent="0.2">
      <c r="A37" s="19"/>
      <c r="B37" s="30"/>
      <c r="C37" s="26"/>
    </row>
    <row r="38" spans="1:7" x14ac:dyDescent="0.2">
      <c r="A38" s="19"/>
      <c r="B38" s="30"/>
      <c r="C38" s="26"/>
    </row>
    <row r="39" spans="1:7" x14ac:dyDescent="0.2">
      <c r="A39" s="19"/>
      <c r="B39" s="28" t="s">
        <v>24</v>
      </c>
      <c r="C39" s="35">
        <v>339462</v>
      </c>
    </row>
    <row r="40" spans="1:7" x14ac:dyDescent="0.2">
      <c r="A40" s="19"/>
      <c r="B40" s="19"/>
      <c r="C40" s="19"/>
    </row>
  </sheetData>
  <mergeCells count="1">
    <mergeCell ref="B1:C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85" fitToHeight="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MES 4X2</vt:lpstr>
      <vt:lpstr>MES DOBLE CABINA </vt:lpstr>
      <vt:lpstr>MICROBUS DIA </vt:lpstr>
      <vt:lpstr>DIA 4X2</vt:lpstr>
      <vt:lpstr>DIA DOBLE CABINA RURAL </vt:lpstr>
      <vt:lpstr>DIA  4X2 RURAL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Lucia  Vega Martinez</dc:creator>
  <cp:lastModifiedBy>MABEL</cp:lastModifiedBy>
  <cp:lastPrinted>2021-05-27T18:29:12Z</cp:lastPrinted>
  <dcterms:created xsi:type="dcterms:W3CDTF">2014-04-25T20:46:10Z</dcterms:created>
  <dcterms:modified xsi:type="dcterms:W3CDTF">2025-12-10T16:10:37Z</dcterms:modified>
</cp:coreProperties>
</file>