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013936B8-DFB4-4446-AE2A-A7EE02969B01}" xr6:coauthVersionLast="36" xr6:coauthVersionMax="36" xr10:uidLastSave="{00000000-0000-0000-0000-000000000000}"/>
  <workbookProtection workbookAlgorithmName="SHA-512" workbookHashValue="PAYJvUEM0AFwnBrxhUg8PDD+xN7/bwlpjDxmZ1OgCzo0lNnWACJKlTdRoxSlFwBmeEbn8KpU5vqVzEzahTVgYA==" workbookSaltValue="cYPTJScmHZa4XjRKQ684UA=="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SolCotizacion!$G$63</definedName>
    <definedName name="filas_grav">SolCotizacion!$G$73</definedName>
    <definedName name="filas_paq">SolCotizacion!$G$43</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X34" i="27"/>
  <c r="L3" i="27"/>
  <c r="F3" i="27"/>
  <c r="J34" i="27"/>
  <c r="G34" i="27"/>
  <c r="F34" i="27"/>
  <c r="L3" i="26"/>
  <c r="F3" i="26"/>
  <c r="J34" i="26"/>
  <c r="G34" i="26"/>
  <c r="F34" i="26"/>
  <c r="X34" i="26" s="1"/>
  <c r="F2" i="41"/>
  <c r="E2" i="41"/>
  <c r="D2" i="41"/>
  <c r="DT6" i="45"/>
  <c r="DS6" i="45"/>
  <c r="DT5" i="45"/>
  <c r="DS5" i="45"/>
  <c r="F70" i="20"/>
  <c r="F58" i="20"/>
  <c r="F34" i="20"/>
  <c r="F35" i="20" s="1"/>
  <c r="F36" i="20" s="1"/>
  <c r="F37" i="20" s="1"/>
  <c r="F38" i="20" s="1"/>
  <c r="Y33" i="20"/>
  <c r="V33" i="20"/>
  <c r="S33" i="20"/>
  <c r="P33"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40" i="20"/>
  <c r="NY11" i="22" l="1"/>
  <c r="NY12" i="22" s="1"/>
  <c r="F57"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L9" i="22"/>
  <c r="SI9" i="22"/>
  <c r="SB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24" i="56" a="1"/>
  <c r="C27" i="56" a="1"/>
  <c r="C30" i="56" a="1"/>
  <c r="C13" i="56" a="1"/>
  <c r="C26" i="56" a="1"/>
  <c r="C14" i="56" a="1"/>
  <c r="C25" i="56" a="1"/>
  <c r="C38" i="56" a="1"/>
  <c r="C6" i="56" a="1"/>
  <c r="C20" i="56" a="1"/>
  <c r="C32" i="56" a="1"/>
  <c r="C31" i="56" a="1"/>
  <c r="C18" i="56" a="1"/>
  <c r="C21" i="56" a="1"/>
  <c r="C36" i="56" a="1"/>
  <c r="C23" i="56" a="1"/>
  <c r="C35" i="56" a="1"/>
  <c r="C10" i="56" a="1"/>
  <c r="C9" i="56" a="1"/>
  <c r="C3" i="56" a="1"/>
  <c r="C15" i="56" a="1"/>
  <c r="C16" i="56" a="1"/>
  <c r="C37" i="56" a="1"/>
  <c r="C12" i="56" a="1"/>
  <c r="C7" i="56" a="1"/>
  <c r="C22" i="56" a="1"/>
  <c r="C11" i="56" a="1"/>
  <c r="C5" i="56" a="1"/>
  <c r="C19" i="56" a="1"/>
  <c r="C17" i="56" a="1"/>
  <c r="C33" i="56" a="1"/>
  <c r="C28" i="56" a="1"/>
  <c r="C34" i="56" a="1"/>
  <c r="C8" i="56" a="1"/>
  <c r="C4"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9" i="20" l="1"/>
  <c r="AD10" i="22" l="1"/>
  <c r="AA10" i="22"/>
  <c r="W10" i="22"/>
  <c r="S10" i="22"/>
  <c r="AE71"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AJL10" i="22" l="1"/>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<sst xmlns="http://schemas.openxmlformats.org/spreadsheetml/2006/main" count="45598" uniqueCount="8728">
  <si>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</si>
  <si>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</si>
  <si>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</si>
  <si>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</si>
  <si>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</si>
  <si>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</si>
  <si>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</si>
  <si>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</si>
  <si>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</si>
  <si>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</si>
  <si>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</si>
  <si>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</si>
  <si>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</si>
  <si>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</si>
  <si>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</si>
  <si>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</si>
  <si>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</si>
  <si>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</si>
  <si>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</si>
  <si>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</si>
  <si>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</si>
  <si>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</si>
  <si>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</si>
  <si>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</si>
  <si>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</si>
  <si>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</si>
  <si>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</si>
  <si>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</si>
  <si>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</si>
  <si>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</si>
  <si>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</si>
  <si>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</si>
  <si>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</si>
  <si>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</si>
  <si>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</si>
  <si>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</si>
  <si>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</si>
  <si>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</si>
  <si>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</si>
  <si>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</si>
  <si>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</si>
  <si>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</si>
  <si>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</si>
  <si>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</si>
  <si>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</si>
  <si>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</si>
  <si>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</si>
  <si>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</si>
  <si>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</si>
  <si>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</si>
  <si>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</si>
  <si>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</si>
  <si>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</si>
  <si>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</si>
  <si>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</si>
  <si>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</si>
  <si>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</si>
  <si>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</si>
  <si>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</si>
  <si>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</si>
  <si>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</si>
  <si>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</si>
  <si>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</si>
  <si>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</si>
  <si>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</si>
  <si>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</si>
  <si>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</si>
  <si>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</si>
  <si>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</si>
  <si>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</si>
  <si>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</si>
  <si>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</si>
  <si>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</si>
  <si>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</si>
  <si>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</si>
  <si>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</si>
  <si>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</si>
  <si>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</si>
  <si>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</si>
  <si>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</si>
  <si>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</si>
  <si>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</si>
  <si>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</si>
  <si>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</si>
  <si>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</si>
  <si>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</si>
  <si>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</si>
  <si>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</si>
  <si>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</si>
  <si>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</si>
  <si>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</si>
  <si>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</si>
  <si>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</si>
  <si>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</si>
  <si>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</si>
  <si>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</si>
  <si>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</si>
  <si>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</si>
  <si>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</si>
  <si>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</si>
  <si>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</si>
  <si>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</si>
  <si>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</si>
  <si>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</si>
  <si>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</si>
  <si>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</si>
  <si>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</si>
  <si>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</si>
  <si>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</si>
  <si>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</si>
  <si>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</si>
  <si>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</si>
  <si>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</si>
  <si>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</si>
  <si>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</si>
  <si>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</si>
  <si>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</si>
  <si>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</si>
  <si>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</si>
  <si>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</si>
  <si>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</si>
  <si>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</si>
  <si>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</si>
  <si>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</si>
  <si>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</si>
  <si>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</si>
  <si>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</si>
  <si>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</si>
  <si>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</si>
  <si>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</si>
  <si>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</si>
  <si>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</si>
  <si>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</si>
  <si>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</si>
  <si>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</si>
  <si>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</si>
  <si>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</si>
  <si>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</si>
  <si>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</si>
  <si>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</si>
  <si>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</si>
  <si>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</si>
  <si>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</si>
  <si>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</si>
  <si>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</si>
  <si>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</si>
  <si>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</si>
  <si>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</si>
  <si>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</si>
  <si>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</si>
  <si>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</si>
  <si>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</si>
  <si>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</si>
  <si>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</si>
  <si>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</si>
  <si>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</si>
  <si>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</si>
  <si>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</si>
  <si>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</si>
  <si>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</si>
  <si>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</si>
  <si>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</si>
  <si>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</si>
  <si>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</si>
  <si>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</si>
  <si>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</si>
  <si>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</si>
  <si>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</si>
  <si>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</si>
  <si>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</si>
  <si>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</si>
  <si>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</si>
  <si>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</si>
  <si>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</si>
  <si>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</si>
  <si>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</si>
  <si>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</si>
  <si>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</si>
  <si>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</si>
  <si>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</si>
  <si>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</si>
  <si>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</si>
  <si>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</si>
  <si>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</si>
  <si>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</si>
  <si>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</si>
  <si>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</si>
  <si>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</si>
  <si>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</si>
  <si>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</si>
  <si>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</si>
  <si>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</si>
  <si>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</si>
  <si>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</si>
  <si>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</si>
  <si>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</si>
  <si>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</si>
  <si>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</si>
  <si>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</si>
  <si>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</si>
  <si>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</si>
  <si>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</si>
  <si>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</si>
  <si>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</si>
  <si>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</si>
  <si>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</si>
  <si>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</si>
  <si>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</si>
  <si>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</si>
  <si>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</si>
  <si>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</si>
  <si>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</si>
  <si>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</si>
  <si>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</si>
  <si>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</si>
  <si>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</si>
  <si>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</si>
  <si>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</si>
  <si>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</si>
  <si>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</si>
  <si>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</si>
  <si>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</si>
  <si>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</si>
  <si>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</si>
  <si>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</si>
  <si>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</si>
  <si>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</si>
  <si>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</si>
  <si>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</si>
  <si>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</si>
  <si>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</si>
  <si>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</si>
  <si>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</si>
  <si>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</si>
  <si>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</si>
  <si>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</si>
  <si>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</si>
  <si>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</si>
  <si>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</si>
  <si>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</si>
  <si>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</si>
  <si>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</si>
  <si>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</si>
  <si>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</si>
  <si>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</si>
  <si>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</si>
  <si>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</si>
  <si>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</si>
  <si>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</si>
  <si>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</si>
  <si>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</si>
  <si>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</si>
  <si>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</si>
  <si>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</si>
  <si>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</si>
  <si>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</si>
  <si>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</si>
  <si>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</si>
  <si>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</si>
  <si>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</si>
  <si>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</si>
  <si>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</si>
  <si>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</si>
  <si>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</si>
  <si>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</si>
  <si>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</si>
  <si>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</si>
  <si>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</si>
  <si>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</si>
  <si>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</si>
  <si>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</si>
  <si>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</si>
  <si>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</si>
  <si>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</si>
  <si>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</si>
  <si>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</si>
  <si>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</si>
  <si>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</si>
  <si>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</si>
  <si>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</si>
  <si>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</si>
  <si>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</si>
  <si>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</si>
  <si>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</si>
  <si>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</si>
  <si>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</si>
  <si>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</si>
  <si>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</si>
  <si>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</si>
  <si>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</si>
  <si>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</si>
  <si>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</si>
  <si>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</si>
  <si>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</si>
  <si>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</si>
  <si>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</si>
  <si>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</si>
  <si>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</si>
  <si>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</si>
  <si>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</si>
  <si>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</si>
  <si>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</si>
  <si>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</si>
  <si>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</si>
  <si>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</si>
  <si>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</si>
  <si>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</si>
  <si>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</si>
  <si>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</si>
  <si>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</si>
  <si>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</si>
  <si>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</si>
  <si>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</si>
  <si>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</si>
  <si>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</si>
  <si>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</si>
  <si>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</si>
  <si>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</si>
  <si>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</si>
  <si>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</si>
  <si>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</si>
  <si>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</si>
  <si>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</si>
  <si>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</si>
  <si>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</si>
  <si>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</si>
  <si>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</si>
  <si>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</si>
  <si>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</si>
  <si>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</si>
  <si>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</si>
  <si>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</si>
  <si>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</si>
  <si>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</si>
  <si>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</si>
  <si>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</si>
  <si>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</si>
  <si>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</si>
  <si>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</si>
  <si>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</si>
  <si>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</si>
  <si>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</si>
  <si>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</si>
  <si>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</si>
  <si>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</si>
  <si>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</si>
  <si>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</si>
  <si>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</si>
  <si>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</si>
  <si>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</si>
  <si>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</si>
  <si>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</si>
  <si>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</si>
  <si>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</si>
  <si>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</si>
  <si>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</si>
  <si>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</si>
  <si>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</si>
  <si>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</si>
  <si>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</si>
  <si>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</si>
  <si>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</si>
  <si>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</si>
  <si>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</si>
  <si>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</si>
  <si>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</si>
  <si>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</si>
  <si>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</si>
  <si>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</si>
  <si>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</si>
  <si>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</si>
  <si>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</si>
  <si>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</si>
  <si>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</si>
  <si>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</si>
  <si>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</si>
  <si>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</si>
  <si>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</si>
  <si>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</si>
  <si>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</si>
  <si>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</si>
  <si>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</si>
  <si>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</si>
  <si>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</si>
  <si>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</si>
  <si>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</si>
  <si>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</si>
  <si>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</si>
  <si>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</si>
  <si>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</si>
  <si>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</si>
  <si>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</si>
  <si>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</si>
  <si>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</si>
  <si>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</si>
  <si>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</si>
  <si>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</si>
  <si>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</si>
  <si>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</si>
  <si>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</si>
  <si>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</si>
  <si>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</si>
  <si>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</si>
  <si>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</si>
  <si>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</si>
  <si>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</si>
  <si>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</si>
  <si>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</si>
  <si>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</si>
  <si>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</si>
  <si>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</si>
  <si>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</si>
  <si>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</si>
  <si>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</si>
  <si>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</si>
  <si>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</si>
  <si>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</si>
  <si>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</si>
  <si>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</si>
  <si>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</si>
  <si>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</si>
  <si>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</si>
  <si>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</si>
  <si>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</si>
  <si>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</si>
  <si>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</si>
  <si>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</si>
  <si>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</si>
  <si>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</si>
  <si>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</si>
  <si>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</si>
  <si>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</si>
  <si>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</si>
  <si>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</si>
  <si>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</si>
  <si>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</si>
  <si>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</si>
  <si>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</si>
  <si>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</si>
  <si>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</si>
  <si>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</si>
  <si>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</si>
  <si>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</si>
  <si>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</si>
  <si>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</si>
  <si>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</si>
  <si>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</si>
  <si>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</si>
  <si>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</si>
  <si>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</si>
  <si>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</si>
  <si>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</si>
  <si>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</si>
  <si>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</si>
  <si>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</si>
  <si>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</si>
  <si>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</si>
  <si>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</si>
  <si>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</si>
  <si>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</si>
  <si>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</si>
  <si>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</si>
  <si>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</si>
  <si>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</si>
  <si>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</si>
  <si>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</si>
  <si>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</si>
  <si>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</si>
  <si>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</si>
  <si>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</si>
  <si>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</si>
  <si>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</si>
  <si>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</si>
  <si>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</si>
  <si>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</si>
  <si>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</si>
  <si>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</si>
  <si>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</si>
  <si>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</si>
  <si>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</si>
  <si>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</si>
  <si>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</si>
  <si>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</si>
  <si>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</si>
  <si>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</si>
  <si>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</si>
  <si>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</si>
  <si>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</si>
  <si>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</si>
  <si>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</si>
  <si>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</si>
  <si>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</si>
  <si>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</si>
  <si>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</si>
  <si>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</si>
  <si>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</si>
  <si>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</si>
  <si>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</si>
  <si>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</si>
  <si>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</si>
  <si>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</si>
  <si>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</si>
  <si>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</si>
  <si>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</si>
  <si>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</si>
  <si>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</si>
  <si>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</si>
  <si>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</si>
  <si>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</si>
  <si>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</si>
  <si>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</si>
  <si>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</si>
  <si>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</si>
  <si>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</si>
  <si>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</si>
  <si>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</si>
  <si>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</si>
  <si>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</si>
  <si>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</si>
  <si>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</si>
  <si>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</si>
  <si>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</si>
  <si>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</si>
  <si>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</si>
  <si>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</si>
  <si>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</si>
  <si>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</si>
  <si>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</si>
  <si>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</si>
  <si>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</si>
  <si>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</si>
  <si>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</si>
  <si>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</si>
  <si>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</si>
  <si>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</si>
  <si>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</si>
  <si>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</si>
  <si>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</si>
  <si>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</si>
  <si>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</si>
  <si>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</si>
  <si>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</si>
  <si>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</si>
  <si>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</si>
  <si>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</si>
  <si>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</si>
  <si>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</si>
  <si>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</si>
  <si>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</si>
  <si>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</si>
  <si>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</si>
  <si>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</si>
  <si>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</si>
  <si>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</si>
  <si>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</si>
  <si>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</si>
  <si>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</si>
  <si>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</si>
  <si>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</si>
  <si>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</si>
  <si>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</si>
  <si>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</si>
  <si>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</si>
  <si>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</si>
  <si>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</si>
  <si>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</si>
  <si>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</si>
  <si>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</si>
  <si>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</si>
  <si>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</si>
  <si>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</si>
  <si>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</si>
  <si>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</si>
  <si>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</si>
  <si>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</si>
  <si>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</si>
  <si>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</si>
  <si>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</si>
  <si>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</si>
  <si>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</si>
  <si>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</si>
  <si>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</si>
  <si>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</si>
  <si>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</si>
  <si>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</si>
  <si>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</si>
  <si>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</si>
  <si>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</si>
  <si>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</si>
  <si>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</si>
  <si>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</si>
  <si>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</si>
  <si>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</si>
  <si>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</si>
  <si>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</si>
  <si>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</si>
  <si>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</si>
  <si>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</si>
  <si>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</si>
  <si>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</si>
  <si>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</si>
  <si>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</si>
  <si>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</si>
  <si>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</si>
  <si>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</si>
  <si>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</si>
  <si>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</si>
  <si>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</si>
  <si>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</si>
  <si>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</si>
  <si>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</si>
  <si>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</si>
  <si>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</si>
  <si>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</si>
  <si>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</si>
  <si>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</si>
  <si>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</si>
  <si>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</si>
  <si>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</si>
  <si>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</si>
  <si>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</si>
  <si>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</si>
  <si>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</si>
  <si>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</si>
  <si>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</si>
  <si>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</si>
  <si>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</si>
  <si>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</si>
  <si>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</si>
  <si>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</si>
  <si>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</si>
  <si>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</si>
  <si>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</si>
  <si>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</si>
  <si>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</si>
  <si>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</si>
  <si>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</si>
  <si>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</si>
  <si>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</si>
  <si>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</si>
  <si>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</si>
  <si>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</si>
  <si>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</si>
  <si>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</si>
  <si>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</si>
  <si>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</si>
  <si>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</si>
  <si>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</si>
  <si>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</si>
  <si>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</si>
  <si>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</si>
  <si>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</si>
  <si>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</si>
  <si>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</si>
  <si>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</si>
  <si>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</si>
  <si>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</si>
  <si>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</si>
  <si>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</si>
  <si>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</si>
  <si>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</si>
  <si>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</si>
  <si>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</si>
  <si>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</si>
  <si>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</si>
  <si>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</si>
  <si>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</si>
  <si>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</si>
  <si>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</si>
  <si>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</si>
  <si>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</si>
  <si>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</si>
  <si>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</si>
  <si>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</si>
  <si>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</si>
  <si>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</si>
  <si>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</si>
  <si>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</si>
  <si>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</si>
  <si>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</si>
  <si>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</si>
  <si>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</si>
  <si>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</si>
  <si>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</si>
  <si>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</si>
  <si>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</si>
  <si>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</si>
  <si>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</si>
  <si>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</si>
  <si>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</si>
  <si>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</si>
  <si>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</si>
  <si>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</si>
  <si>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</si>
  <si>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</si>
  <si>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</si>
  <si>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</si>
  <si>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</si>
  <si>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</si>
  <si>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</si>
  <si>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</si>
  <si>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</si>
  <si>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</si>
  <si>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</si>
  <si>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</si>
  <si>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</si>
  <si>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</si>
  <si>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</si>
  <si>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</si>
  <si>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</si>
  <si>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</si>
  <si>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</si>
  <si>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</si>
  <si>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</si>
  <si>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</si>
  <si>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</si>
  <si>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</si>
  <si>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</si>
  <si>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</si>
  <si>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</si>
  <si>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</si>
  <si>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</si>
  <si>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</si>
  <si>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</si>
  <si>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</si>
  <si>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</si>
  <si>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</si>
  <si>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</si>
  <si>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</si>
  <si>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</si>
  <si>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</si>
  <si>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</si>
  <si>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</si>
  <si>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</si>
  <si>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</si>
  <si>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</si>
  <si>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</si>
  <si>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</si>
  <si>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</si>
  <si>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</si>
  <si>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</si>
  <si>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</si>
  <si>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</si>
  <si>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</si>
  <si>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</si>
  <si>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</si>
  <si>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</si>
  <si>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</si>
  <si>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</si>
  <si>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</si>
  <si>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</si>
  <si>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</si>
  <si>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</si>
  <si>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</si>
  <si>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</si>
  <si>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</si>
  <si>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</si>
  <si>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</si>
  <si>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</si>
  <si>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</si>
  <si>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</si>
  <si>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</si>
  <si>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</si>
  <si>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</si>
  <si>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</si>
  <si>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</si>
  <si>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</si>
  <si>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</si>
  <si>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</si>
  <si>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</si>
  <si>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</si>
  <si>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</si>
  <si>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</si>
  <si>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</si>
  <si>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</si>
  <si>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</si>
  <si>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</si>
  <si>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</si>
  <si>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</si>
  <si>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</si>
  <si>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</si>
  <si>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</si>
  <si>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</si>
  <si>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</si>
  <si>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</si>
  <si>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</si>
  <si>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</si>
  <si>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</si>
  <si>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</si>
  <si>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</si>
  <si>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</si>
  <si>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</si>
  <si>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</si>
  <si>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</si>
  <si>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</si>
  <si>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</si>
  <si>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</si>
  <si>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</si>
  <si>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</si>
  <si>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</si>
  <si>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</si>
  <si>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</si>
  <si>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</si>
  <si>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</si>
  <si>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</si>
  <si>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</si>
  <si>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</si>
  <si>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</si>
  <si>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</si>
  <si>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</si>
  <si>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</si>
  <si>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</si>
  <si>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</si>
  <si>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</si>
  <si>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</si>
  <si>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</si>
  <si>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</si>
  <si>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</si>
  <si>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</si>
  <si>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</si>
  <si>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</si>
  <si>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</si>
  <si>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</si>
  <si>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</si>
  <si>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</si>
  <si>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</si>
  <si>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</si>
  <si>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</si>
  <si>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</si>
  <si>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</si>
  <si>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</si>
  <si>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</si>
  <si>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</si>
  <si>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</si>
  <si>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</si>
  <si>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</si>
  <si>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</si>
  <si>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</si>
  <si>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</si>
  <si>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</si>
  <si>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</si>
  <si>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</si>
  <si>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</si>
  <si>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</si>
  <si>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</si>
  <si>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</si>
  <si>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</si>
  <si>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</si>
  <si>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</si>
  <si>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</si>
  <si>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</si>
  <si>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</si>
  <si>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</si>
  <si>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</si>
  <si>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</si>
  <si>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</si>
  <si>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</si>
  <si>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</si>
  <si>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</si>
  <si>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</si>
  <si>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</si>
  <si>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</si>
  <si>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</si>
  <si>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</si>
  <si>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</si>
  <si>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</si>
  <si>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</si>
  <si>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</si>
  <si>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</si>
  <si>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</si>
  <si>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</si>
  <si>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</si>
  <si>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</si>
  <si>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</si>
  <si>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</si>
  <si>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</si>
  <si>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</si>
  <si>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</si>
  <si>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</si>
  <si>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</si>
  <si>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</si>
  <si>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</si>
  <si>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</si>
  <si>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</si>
  <si>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</si>
  <si>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</si>
  <si>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</si>
  <si>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</si>
  <si>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</si>
  <si>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</si>
  <si>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</si>
  <si>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</si>
  <si>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</si>
  <si>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</si>
  <si>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</si>
  <si>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</si>
  <si>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</si>
  <si>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</si>
  <si>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</si>
  <si>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</si>
  <si>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</si>
  <si>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</si>
  <si>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</si>
  <si>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</si>
  <si>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</si>
  <si>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</si>
  <si>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</si>
  <si>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</si>
  <si>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</si>
  <si>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</si>
  <si>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</si>
  <si>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</si>
  <si>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</si>
  <si>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</si>
  <si>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</si>
  <si>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</si>
  <si>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</si>
  <si>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</si>
  <si>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</si>
  <si>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</si>
  <si>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</si>
  <si>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</si>
  <si>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</si>
  <si>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</si>
  <si>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</si>
  <si>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</si>
  <si>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</si>
  <si>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</si>
  <si>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</si>
  <si>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</si>
  <si>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</si>
  <si>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</si>
  <si>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</si>
  <si>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</si>
  <si>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</si>
  <si>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</si>
  <si>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</si>
  <si>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</si>
  <si>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</si>
  <si>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</si>
  <si>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</si>
  <si>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</si>
  <si>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</si>
  <si>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</si>
  <si>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</si>
  <si>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</si>
  <si>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</si>
  <si>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</si>
  <si>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</si>
  <si>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</si>
  <si>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</si>
  <si>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</si>
  <si>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</si>
  <si>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</si>
  <si>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</si>
  <si>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</si>
  <si>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</si>
  <si>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</si>
  <si>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</si>
  <si>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</si>
  <si>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</si>
  <si>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</si>
  <si>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</si>
  <si>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</si>
  <si>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</si>
  <si>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</si>
  <si>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</si>
  <si>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</si>
  <si>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</si>
  <si>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</si>
  <si>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</si>
  <si>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</si>
  <si>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</si>
  <si>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</si>
  <si>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</si>
  <si>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</si>
  <si>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</si>
  <si>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</si>
  <si>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</si>
  <si>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</si>
  <si>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</si>
  <si>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</si>
  <si>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</si>
  <si>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</si>
  <si>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</si>
  <si>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</si>
  <si>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</si>
  <si>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</si>
  <si>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</si>
  <si>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</si>
  <si>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</si>
  <si>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</si>
  <si>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</si>
  <si>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</si>
  <si>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</si>
  <si>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</si>
  <si>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</si>
  <si>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</si>
  <si>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</si>
  <si>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</si>
  <si>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</si>
  <si>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</si>
  <si>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</si>
  <si>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</si>
  <si>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</si>
  <si>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</si>
  <si>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</si>
  <si>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</si>
  <si>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</si>
  <si>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</si>
  <si>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</si>
  <si>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</si>
  <si>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</si>
  <si>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</si>
  <si>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</si>
  <si>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</si>
  <si>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</si>
  <si>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</si>
  <si>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</si>
  <si>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</si>
  <si>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</si>
  <si>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</si>
  <si>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</si>
  <si>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</si>
  <si>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</si>
  <si>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</si>
  <si>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</si>
  <si>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</si>
  <si>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</si>
  <si>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</si>
  <si>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</si>
  <si>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</si>
  <si>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</si>
  <si>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</si>
  <si>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</si>
  <si>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</si>
  <si>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</si>
  <si>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</si>
  <si>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</si>
  <si>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</si>
  <si>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</si>
  <si>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</si>
  <si>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</si>
  <si>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</si>
  <si>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</si>
  <si>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</si>
  <si>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</si>
  <si>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</si>
  <si>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</si>
  <si>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</si>
  <si>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</si>
  <si>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</si>
  <si>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</si>
  <si>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</si>
  <si>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</si>
  <si>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</si>
  <si>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</si>
  <si>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</si>
  <si>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</si>
  <si>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</si>
  <si>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</si>
  <si>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</si>
  <si>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</si>
  <si>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</si>
  <si>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</si>
  <si>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</si>
  <si>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</si>
  <si>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</si>
  <si>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</si>
  <si>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</si>
  <si>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</si>
  <si>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</si>
  <si>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</si>
  <si>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</si>
  <si>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</si>
  <si>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</si>
  <si>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</si>
  <si>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</si>
  <si>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</si>
  <si>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</si>
  <si>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</si>
  <si>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</si>
  <si>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</si>
  <si>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</si>
  <si>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</si>
  <si>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</si>
  <si>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</si>
  <si>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</si>
  <si>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</si>
  <si>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</si>
  <si>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</si>
  <si>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</si>
  <si>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</si>
  <si>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</si>
  <si>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</si>
  <si>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</si>
  <si>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</si>
  <si>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</si>
  <si>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</si>
  <si>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</si>
  <si>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</si>
  <si>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</si>
  <si>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</si>
  <si>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</si>
  <si>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</si>
  <si>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</si>
  <si>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</si>
  <si>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</si>
  <si>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</si>
  <si>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</si>
  <si>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</si>
  <si>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</si>
  <si>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</si>
  <si>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</si>
  <si>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</si>
  <si>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</si>
  <si>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</si>
  <si>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</si>
  <si>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</si>
  <si>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</si>
  <si>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</si>
  <si>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</si>
  <si>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</si>
  <si>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</si>
  <si>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</si>
  <si>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</si>
  <si>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</si>
  <si>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</si>
  <si>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</si>
  <si>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</si>
  <si>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</si>
  <si>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</si>
  <si>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</si>
  <si>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</si>
  <si>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</si>
  <si>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</si>
  <si>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</si>
  <si>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</si>
  <si>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</si>
  <si>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</si>
  <si>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</si>
  <si>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</si>
  <si>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</si>
  <si>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</si>
  <si>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</si>
  <si>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</si>
  <si>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</si>
  <si>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</si>
  <si>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</si>
  <si>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</si>
  <si>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</si>
  <si>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</si>
  <si>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</si>
  <si>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</si>
  <si>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</si>
  <si>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</si>
  <si>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</si>
  <si>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</si>
  <si>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</si>
  <si>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</si>
  <si>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</si>
  <si>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</si>
  <si>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</si>
  <si>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</si>
  <si>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</si>
  <si>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</si>
  <si>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</si>
  <si>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</si>
  <si>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</si>
  <si>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</si>
  <si>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</si>
  <si>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</si>
  <si>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</si>
  <si>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</si>
  <si>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</si>
  <si>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</si>
  <si>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</si>
  <si>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</si>
  <si>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</si>
  <si>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</si>
  <si>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</si>
  <si>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</si>
  <si>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</si>
  <si>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</si>
  <si>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</si>
  <si>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</si>
  <si>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</si>
  <si>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</si>
  <si>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</si>
  <si>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</si>
  <si>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</si>
  <si>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</si>
  <si>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</si>
  <si>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</si>
  <si>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</si>
  <si>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</si>
  <si>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</si>
  <si>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</si>
  <si>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</si>
  <si>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</si>
  <si>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</si>
  <si>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</si>
  <si>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</si>
  <si>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</si>
  <si>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</si>
  <si>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</si>
  <si>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</si>
  <si>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</si>
  <si>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</si>
  <si>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</si>
  <si>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</si>
  <si>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</si>
  <si>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</si>
  <si>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</si>
  <si>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</si>
  <si>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</si>
  <si>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</si>
  <si>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</si>
  <si>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</si>
  <si>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</si>
  <si>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</si>
  <si>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</si>
  <si>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</si>
  <si>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</si>
  <si>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</si>
  <si>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</si>
  <si>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</si>
  <si>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</si>
  <si>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</si>
  <si>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</si>
  <si>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</si>
  <si>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</si>
  <si>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</si>
  <si>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</si>
  <si>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</si>
  <si>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</si>
  <si>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</si>
  <si>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</si>
  <si>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</si>
  <si>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</si>
  <si>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</si>
  <si>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</si>
  <si>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</si>
  <si>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</si>
  <si>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</si>
  <si>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</si>
  <si>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</si>
  <si>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</si>
  <si>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</si>
  <si>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</si>
  <si>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</si>
  <si>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</si>
  <si>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</si>
  <si>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</si>
  <si>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</si>
  <si>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</si>
  <si>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</si>
  <si>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</si>
  <si>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</si>
  <si>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</si>
  <si>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</si>
  <si>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</si>
  <si>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</si>
  <si>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</si>
  <si>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</si>
  <si>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</si>
  <si>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</si>
  <si>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</si>
  <si>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</si>
  <si>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</si>
  <si>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</si>
  <si>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</si>
  <si>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</si>
  <si>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</si>
  <si>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</si>
  <si>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</si>
  <si>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</si>
  <si>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</si>
  <si>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</si>
  <si>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</si>
  <si>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</si>
  <si>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</si>
  <si>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</si>
  <si>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</si>
  <si>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</si>
  <si>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</si>
  <si>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</si>
  <si>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</si>
  <si>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</si>
  <si>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</si>
  <si>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</si>
  <si>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</si>
  <si>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</si>
  <si>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</si>
  <si>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</si>
  <si>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</si>
  <si>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</si>
  <si>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</si>
  <si>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</si>
  <si>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</si>
  <si>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</si>
  <si>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</si>
  <si>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</si>
  <si>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</si>
  <si>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</si>
  <si>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</si>
  <si>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</si>
  <si>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</si>
  <si>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</si>
  <si>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</si>
  <si>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</si>
  <si>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</si>
  <si>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</si>
  <si>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</si>
  <si>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</si>
  <si>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</si>
  <si>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</si>
  <si>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</si>
  <si>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</si>
  <si>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</si>
  <si>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</si>
  <si>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</si>
  <si>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</si>
  <si>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</si>
  <si>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</si>
  <si>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</si>
  <si>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</si>
  <si>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</si>
  <si>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</si>
  <si>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</si>
  <si>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</si>
  <si>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</si>
  <si>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</si>
  <si>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</si>
  <si>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</si>
  <si>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</si>
  <si>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</si>
  <si>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</si>
  <si>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</si>
  <si>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</si>
  <si>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</si>
  <si>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</si>
  <si>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</si>
  <si>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</si>
  <si>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</si>
  <si>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</si>
  <si>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</si>
  <si>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</si>
  <si>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</si>
  <si>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</si>
  <si>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</si>
  <si>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</si>
  <si>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</si>
  <si>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</si>
  <si>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</si>
  <si>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</si>
  <si>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</si>
  <si>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</si>
  <si>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</si>
  <si>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</si>
  <si>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</si>
  <si>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</si>
  <si>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</si>
  <si>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</si>
  <si>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</si>
  <si>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</si>
  <si>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</si>
  <si>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</si>
  <si>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</si>
  <si>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</si>
  <si>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</si>
  <si>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</si>
  <si>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</si>
  <si>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</si>
  <si>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</si>
  <si>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</si>
  <si>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</si>
  <si>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</si>
  <si>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</si>
  <si>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</si>
  <si>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</si>
  <si>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</si>
  <si>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</si>
  <si>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</si>
  <si>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</si>
  <si>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</si>
  <si>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</si>
  <si>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</si>
  <si>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</si>
  <si>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</si>
  <si>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</si>
  <si>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</si>
  <si>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</si>
  <si>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</si>
  <si>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</si>
  <si>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</si>
  <si>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</si>
  <si>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</si>
  <si>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</si>
  <si>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</si>
  <si>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</si>
  <si>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</si>
  <si>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</si>
  <si>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</si>
  <si>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</si>
  <si>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</si>
  <si>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</si>
  <si>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</si>
  <si>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</si>
  <si>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</si>
  <si>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</si>
  <si>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</si>
  <si>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</si>
  <si>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</si>
  <si>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</si>
  <si>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</si>
  <si>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</si>
  <si>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</si>
  <si>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</si>
  <si>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</si>
  <si>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</si>
  <si>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</si>
  <si>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</si>
  <si>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</si>
  <si>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</si>
  <si>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</si>
  <si>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</si>
  <si>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</si>
  <si>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</si>
  <si>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</si>
  <si>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</si>
  <si>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</si>
  <si>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</si>
  <si>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</si>
  <si>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</si>
  <si>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</si>
  <si>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</si>
  <si>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</si>
  <si>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</si>
  <si>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</si>
  <si>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</si>
  <si>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</si>
  <si>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</si>
  <si>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</si>
  <si>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</si>
  <si>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</si>
  <si>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</si>
  <si>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</si>
  <si>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</si>
  <si>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</si>
  <si>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</si>
  <si>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</si>
  <si>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</si>
  <si>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</si>
  <si>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</si>
  <si>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</si>
  <si>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</si>
  <si>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</si>
  <si>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</si>
  <si>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</si>
  <si>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</si>
  <si>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</si>
  <si>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</si>
  <si>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</si>
  <si>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</si>
  <si>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</si>
  <si>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</si>
  <si>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</si>
  <si>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</si>
  <si>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</si>
  <si>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</si>
  <si>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</si>
  <si>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</si>
  <si>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</si>
  <si>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</si>
  <si>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</si>
  <si>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</si>
  <si>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</si>
  <si>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</si>
  <si>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</si>
  <si>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</si>
  <si>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</si>
  <si>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</si>
  <si>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</si>
  <si>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</si>
  <si>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</si>
  <si>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</si>
  <si>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</si>
  <si>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</si>
  <si>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</si>
  <si>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</si>
  <si>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</si>
  <si>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</si>
  <si>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</si>
  <si>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</si>
  <si>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</si>
  <si>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</si>
  <si>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</si>
  <si>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</si>
  <si>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</si>
  <si>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</si>
  <si>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</si>
  <si>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</si>
  <si>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</si>
  <si>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</si>
  <si>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</si>
  <si>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</si>
  <si>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</si>
  <si>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</si>
  <si>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</si>
  <si>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</si>
  <si>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</si>
  <si>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</si>
  <si>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</si>
  <si>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</si>
  <si>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</si>
  <si>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</si>
  <si>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</si>
  <si>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</si>
  <si>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</si>
  <si>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</si>
  <si>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</si>
  <si>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</si>
  <si>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</si>
  <si>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</si>
  <si>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</si>
  <si>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</si>
  <si>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</si>
  <si>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</si>
  <si>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</si>
  <si>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</si>
  <si>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</si>
  <si>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</si>
  <si>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</si>
  <si>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</si>
  <si>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</si>
  <si>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</si>
  <si>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</si>
  <si>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</si>
  <si>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</si>
  <si>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</si>
  <si>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</si>
  <si>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</si>
  <si>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</si>
  <si>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</si>
  <si>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</si>
  <si>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</si>
  <si>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</si>
  <si>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</si>
  <si>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</si>
  <si>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</si>
  <si>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</si>
  <si>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</si>
  <si>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</si>
  <si>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</si>
  <si>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</si>
  <si>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</si>
  <si>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</si>
  <si>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</si>
  <si>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</si>
  <si>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</si>
  <si>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</si>
  <si>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</si>
  <si>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</si>
  <si>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</si>
  <si>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</si>
  <si>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</si>
  <si>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</si>
  <si>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</si>
  <si>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</si>
  <si>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</si>
  <si>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</si>
  <si>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</si>
  <si>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</si>
  <si>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</si>
  <si>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</si>
  <si>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</si>
  <si>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</si>
  <si>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</si>
  <si>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</si>
  <si>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</si>
  <si>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</si>
  <si>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</si>
  <si>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</si>
  <si>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</si>
  <si>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</si>
  <si>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</si>
  <si>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</si>
  <si>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</si>
  <si>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</si>
  <si>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</si>
  <si>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</si>
  <si>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</si>
  <si>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</si>
  <si>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</si>
  <si>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</si>
  <si>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</si>
  <si>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</si>
  <si>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</si>
  <si>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</si>
  <si>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</si>
  <si>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</si>
  <si>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</si>
  <si>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</si>
  <si>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</si>
  <si>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</si>
  <si>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</si>
  <si>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</si>
  <si>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</si>
  <si>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</si>
  <si>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</si>
  <si>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</si>
  <si>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</si>
  <si>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</si>
  <si>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</si>
  <si>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</si>
  <si>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</si>
  <si>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</si>
  <si>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</si>
  <si>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</si>
  <si>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</si>
  <si>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</si>
  <si>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</si>
  <si>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</si>
  <si>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</si>
  <si>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</si>
  <si>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</si>
  <si>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</si>
  <si>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</si>
  <si>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</si>
  <si>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</si>
  <si>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</si>
  <si>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</si>
  <si>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</si>
  <si>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</si>
  <si>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</si>
  <si>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</si>
  <si>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</si>
  <si>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</si>
  <si>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</si>
  <si>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</si>
  <si>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</si>
  <si>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</si>
  <si>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</si>
  <si>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</si>
  <si>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</si>
  <si>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</si>
  <si>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</si>
  <si>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</si>
  <si>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</si>
  <si>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</si>
  <si>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</si>
  <si>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</si>
  <si>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</si>
  <si>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</si>
  <si>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</si>
  <si>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</si>
  <si>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</si>
  <si>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</si>
  <si>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</si>
  <si>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</si>
  <si>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</si>
  <si>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</si>
  <si>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</si>
  <si>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</si>
  <si>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</si>
  <si>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</si>
  <si>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</si>
  <si>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</si>
  <si>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</si>
  <si>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</si>
  <si>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</si>
  <si>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</si>
  <si>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</si>
  <si>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</si>
  <si>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</si>
  <si>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</si>
  <si>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</si>
  <si>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</si>
  <si>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</si>
  <si>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</si>
  <si>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</si>
  <si>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</si>
  <si>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</si>
  <si>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</si>
  <si>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</si>
  <si>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</si>
  <si>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</si>
  <si>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</si>
  <si>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</si>
  <si>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</si>
  <si>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</si>
  <si>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</si>
  <si>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</si>
  <si>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</si>
  <si>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</si>
  <si>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</si>
  <si>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</si>
  <si>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</si>
  <si>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</si>
  <si>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</si>
  <si>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</si>
  <si>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</si>
  <si>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</si>
  <si>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</si>
  <si>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</si>
  <si>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</si>
  <si>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</si>
  <si>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</si>
  <si>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</si>
  <si>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</si>
  <si>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</si>
  <si>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</si>
  <si>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</si>
  <si>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</si>
  <si>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</si>
  <si>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</si>
  <si>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</si>
  <si>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</si>
  <si>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</si>
  <si>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</si>
  <si>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</si>
  <si>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</si>
  <si>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</si>
  <si>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</si>
  <si>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</si>
  <si>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</si>
  <si>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</si>
  <si>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</si>
  <si>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</si>
  <si>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</si>
  <si>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</si>
  <si>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</si>
  <si>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</si>
  <si>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</si>
  <si>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</si>
  <si>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</si>
  <si>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</si>
  <si>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</si>
  <si>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</si>
  <si>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</si>
  <si>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</si>
  <si>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</si>
  <si>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</si>
  <si>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</si>
  <si>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</si>
  <si>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</si>
  <si>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</si>
  <si>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</si>
  <si>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</si>
  <si>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</si>
  <si>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</si>
  <si>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</si>
  <si>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</si>
  <si>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</si>
  <si>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</si>
  <si>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</si>
  <si>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</si>
  <si>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</si>
  <si>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</si>
  <si>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</si>
  <si>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</si>
  <si>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</si>
  <si>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</si>
  <si>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</si>
  <si>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</si>
  <si>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</si>
  <si>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</si>
  <si>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</si>
  <si>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</si>
  <si>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</si>
  <si>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</si>
  <si>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</si>
  <si>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</si>
  <si>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</si>
  <si>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</si>
  <si>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</si>
  <si>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</si>
  <si>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</si>
  <si>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</si>
  <si>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</si>
  <si>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</si>
  <si>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</si>
  <si>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</si>
  <si>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</si>
  <si>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</si>
  <si>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</si>
  <si>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</si>
  <si>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</si>
  <si>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</si>
  <si>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</si>
  <si>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</si>
  <si>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</si>
  <si>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</si>
  <si>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</si>
  <si>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</si>
  <si>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</si>
  <si>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</si>
  <si>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</si>
  <si>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</si>
  <si>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</si>
  <si>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</si>
  <si>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</si>
  <si>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</si>
  <si>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</si>
  <si>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</si>
  <si>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</si>
  <si>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</si>
  <si>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</si>
  <si>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</si>
  <si>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</si>
  <si>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</si>
  <si>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</si>
  <si>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</si>
  <si>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</si>
  <si>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</si>
  <si>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</si>
  <si>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</si>
  <si>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</si>
  <si>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</si>
  <si>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</si>
  <si>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</si>
  <si>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</si>
  <si>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</si>
  <si>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</si>
  <si>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</si>
  <si>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</si>
  <si>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</si>
  <si>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</si>
  <si>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</si>
  <si>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</si>
  <si>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</si>
  <si>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</si>
  <si>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</si>
  <si>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</si>
  <si>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</si>
  <si>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</si>
  <si>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</si>
  <si>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</si>
  <si>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</si>
  <si>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</si>
  <si>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</si>
  <si>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</si>
  <si>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</si>
  <si>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</si>
  <si>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</si>
  <si>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</si>
  <si>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</si>
  <si>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</si>
  <si>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</si>
  <si>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</si>
  <si>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</si>
  <si>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</si>
  <si>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</si>
  <si>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</si>
  <si>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</si>
  <si>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</si>
  <si>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</si>
  <si>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</si>
  <si>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</si>
  <si>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</si>
  <si>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</si>
  <si>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</si>
  <si>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</si>
  <si>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</si>
  <si>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</si>
  <si>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</si>
  <si>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</si>
  <si>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</si>
  <si>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</si>
  <si>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</si>
  <si>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</si>
  <si>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</si>
  <si>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</si>
  <si>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</si>
  <si>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</si>
  <si>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</si>
  <si>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</si>
  <si>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</si>
  <si>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</si>
  <si>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</si>
  <si>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</si>
  <si>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</si>
  <si>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</si>
  <si>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</si>
  <si>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</si>
  <si>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</si>
  <si>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</si>
  <si>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</si>
  <si>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</si>
  <si>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</si>
  <si>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</si>
  <si>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</si>
  <si>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</si>
  <si>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</si>
  <si>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</si>
  <si>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</si>
  <si>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</si>
  <si>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</si>
  <si>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</si>
  <si>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</si>
  <si>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</si>
  <si>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</si>
  <si>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</si>
  <si>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</si>
  <si>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</si>
  <si>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</si>
  <si>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</si>
  <si>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</si>
  <si>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</si>
  <si>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</si>
  <si>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</si>
  <si>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</si>
  <si>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</si>
  <si>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</si>
  <si>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</si>
  <si>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</si>
  <si>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</si>
  <si>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</si>
  <si>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</si>
  <si>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</si>
  <si>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</si>
  <si>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</si>
  <si>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</si>
  <si>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</si>
  <si>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</si>
  <si>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</si>
  <si>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</si>
  <si>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</si>
  <si>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</si>
  <si>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</si>
  <si>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</si>
  <si>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</si>
  <si>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</si>
  <si>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</si>
  <si>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</si>
  <si>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</si>
  <si>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</si>
  <si>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</si>
  <si>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</si>
  <si>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</si>
  <si>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</si>
  <si>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</si>
  <si>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</si>
  <si>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</si>
  <si>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</si>
  <si>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</si>
  <si>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</si>
  <si>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</si>
  <si>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</si>
  <si>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</si>
  <si>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</si>
  <si>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</si>
  <si>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</si>
  <si>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</si>
  <si>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</si>
  <si>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</si>
  <si>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</si>
  <si>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</si>
  <si>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</si>
  <si>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</si>
  <si>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</si>
  <si>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</si>
  <si>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</si>
  <si>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</si>
  <si>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</si>
  <si>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</si>
  <si>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</si>
  <si>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</si>
  <si>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</si>
  <si>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</si>
  <si>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</si>
  <si>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</si>
  <si>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</si>
  <si>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</si>
  <si>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</si>
  <si>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</si>
  <si>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</si>
  <si>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</si>
  <si>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</si>
  <si>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</si>
  <si>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</si>
  <si>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</si>
  <si>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</si>
  <si>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</si>
  <si>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</si>
  <si>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</si>
  <si>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</si>
  <si>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</si>
  <si>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</si>
  <si>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</si>
  <si>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</si>
  <si>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</si>
  <si>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</si>
  <si>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</si>
  <si>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</si>
  <si>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</si>
  <si>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</si>
  <si>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</si>
  <si>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</si>
  <si>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</si>
  <si>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</si>
  <si>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</si>
  <si>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</si>
  <si>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</si>
  <si>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</si>
  <si>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</si>
  <si>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</si>
  <si>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</si>
  <si>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</si>
  <si>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</si>
  <si>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</si>
  <si>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</si>
  <si>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</si>
  <si>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</si>
  <si>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</si>
  <si>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</si>
  <si>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</si>
  <si>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</si>
  <si>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</si>
  <si>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</si>
  <si>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</si>
  <si>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</si>
  <si>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</si>
  <si>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</si>
  <si>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</si>
  <si>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</si>
  <si>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</si>
  <si>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</si>
  <si>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</si>
  <si>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</si>
  <si>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</si>
  <si>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</si>
  <si>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</si>
  <si>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</si>
  <si>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</si>
  <si>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</si>
  <si>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</si>
  <si>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</si>
  <si>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</si>
  <si>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</si>
  <si>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</si>
  <si>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</si>
  <si>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</si>
  <si>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</si>
  <si>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</si>
  <si>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</si>
  <si>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</si>
  <si>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</si>
  <si>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</si>
  <si>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</si>
  <si>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</si>
  <si>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</si>
  <si>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</si>
  <si>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</si>
  <si>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</si>
  <si>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</si>
  <si>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</si>
  <si>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</si>
  <si>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</si>
  <si>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</si>
  <si>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</si>
  <si>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</si>
  <si>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</si>
  <si>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</si>
  <si>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</si>
  <si>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</si>
  <si>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</si>
  <si>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</si>
  <si>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</si>
  <si>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</si>
  <si>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</si>
  <si>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</si>
  <si>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</si>
  <si>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</si>
  <si>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</si>
  <si>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</si>
  <si>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</si>
  <si>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</si>
  <si>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</si>
  <si>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</si>
  <si>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</si>
  <si>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</si>
  <si>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</si>
  <si>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</si>
  <si>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</si>
  <si>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</si>
  <si>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</si>
  <si>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</si>
  <si>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</si>
  <si>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</si>
  <si>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</si>
  <si>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</si>
  <si>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</si>
  <si>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</si>
  <si>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</si>
  <si>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</si>
  <si>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</si>
  <si>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</si>
  <si>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</si>
  <si>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</si>
  <si>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</si>
  <si>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</si>
  <si>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</si>
  <si>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</si>
  <si>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</si>
  <si>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</si>
  <si>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</si>
  <si>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</si>
  <si>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</si>
  <si>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</si>
  <si>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</si>
  <si>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</si>
  <si>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</si>
  <si>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</si>
  <si>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</si>
  <si>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</si>
  <si>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</si>
  <si>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</si>
  <si>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</si>
  <si>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</si>
  <si>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</si>
  <si>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</si>
  <si>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</si>
  <si>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</si>
  <si>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</si>
  <si>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</si>
  <si>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</si>
  <si>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</si>
  <si>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</si>
  <si>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</si>
  <si>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</si>
  <si>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</si>
  <si>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</si>
  <si>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</si>
  <si>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</si>
  <si>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</si>
  <si>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</si>
  <si>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</si>
  <si>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</si>
  <si>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</si>
  <si>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</si>
  <si>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</si>
  <si>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</si>
  <si>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</si>
  <si>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</si>
  <si>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</si>
  <si>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</si>
  <si>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</si>
  <si>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</si>
  <si>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</si>
  <si>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</si>
  <si>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</si>
  <si>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</si>
  <si>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</si>
  <si>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</si>
  <si>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</si>
  <si>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</si>
  <si>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</si>
  <si>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</si>
  <si>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</si>
  <si>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</si>
  <si>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</si>
  <si>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</si>
  <si>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</si>
  <si>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</si>
  <si>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</si>
  <si>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</si>
  <si>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</si>
  <si>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</si>
  <si>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</si>
  <si>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</si>
  <si>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</si>
  <si>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</si>
  <si>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</si>
  <si>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</si>
  <si>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</si>
  <si>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</si>
  <si>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</si>
  <si>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</si>
  <si>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</si>
  <si>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</si>
  <si>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</si>
  <si>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</si>
  <si>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</si>
  <si>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</si>
  <si>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</si>
  <si>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</si>
  <si>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</si>
  <si>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</si>
  <si>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</si>
  <si>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</si>
  <si>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</si>
  <si>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</si>
  <si>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</si>
  <si>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</si>
  <si>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</si>
  <si>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</si>
  <si>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</si>
  <si>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</si>
  <si>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</si>
  <si>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</si>
  <si>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</si>
  <si>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</si>
  <si>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</si>
  <si>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</si>
  <si>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</si>
  <si>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</si>
  <si>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</si>
  <si>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</si>
  <si>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</si>
  <si>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</si>
  <si>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</si>
  <si>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</si>
  <si>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</si>
  <si>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</si>
  <si>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</si>
  <si>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</si>
  <si>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</si>
  <si>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</si>
  <si>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</si>
  <si>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</si>
  <si>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</si>
  <si>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</si>
  <si>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</si>
  <si>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</si>
  <si>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</si>
  <si>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</si>
  <si>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</si>
  <si>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</si>
  <si>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</si>
  <si>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</si>
  <si>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</si>
  <si>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</si>
  <si>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</si>
  <si>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</si>
  <si>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</si>
  <si>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</si>
  <si>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</si>
  <si>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</si>
  <si>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</si>
  <si>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</si>
  <si>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</si>
  <si>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</si>
  <si>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</si>
  <si>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</si>
  <si>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</si>
  <si>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</si>
  <si>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</si>
  <si>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</si>
  <si>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</si>
  <si>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</si>
  <si>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</si>
  <si>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</si>
  <si>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</si>
  <si>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</si>
  <si>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</si>
  <si>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</si>
  <si>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</si>
  <si>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</si>
  <si>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</si>
  <si>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</si>
  <si>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</si>
  <si>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</si>
  <si>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</si>
  <si>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</si>
  <si>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</si>
  <si>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</si>
  <si>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</si>
  <si>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</si>
  <si>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</si>
  <si>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</si>
  <si>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</si>
  <si>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</si>
  <si>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</si>
  <si>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</si>
  <si>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</si>
  <si>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</si>
  <si>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</si>
  <si>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</si>
  <si>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</si>
  <si>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</si>
  <si>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</si>
  <si>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</si>
  <si>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</si>
  <si>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</si>
  <si>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</si>
  <si>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</si>
  <si>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</si>
  <si>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</si>
  <si>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</si>
  <si>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</si>
  <si>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</si>
  <si>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</si>
  <si>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</si>
  <si>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</si>
  <si>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</si>
  <si>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</si>
  <si>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</si>
  <si>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</si>
  <si>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</si>
  <si>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</si>
  <si>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</si>
  <si>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</si>
  <si>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</si>
  <si>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</si>
  <si>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</si>
  <si>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</si>
  <si>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</si>
  <si>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</si>
  <si>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</si>
  <si>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</si>
  <si>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</si>
  <si>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</si>
  <si>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</si>
  <si>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</si>
  <si>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</si>
  <si>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</si>
  <si>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</si>
  <si>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</si>
  <si>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</si>
  <si>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</si>
  <si>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</si>
  <si>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</si>
  <si>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</si>
  <si>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</si>
  <si>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</si>
  <si>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</si>
  <si>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</si>
  <si>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</si>
  <si>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</si>
  <si>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</si>
  <si>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</si>
  <si>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</si>
  <si>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</si>
  <si>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</si>
  <si>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</si>
  <si>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</si>
  <si>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</si>
  <si>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</si>
  <si>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</si>
  <si>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</si>
  <si>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</si>
  <si>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</si>
  <si>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</si>
  <si>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</si>
  <si>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</si>
  <si>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</si>
  <si>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</si>
  <si>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</si>
  <si>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</si>
  <si>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</si>
  <si>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</si>
  <si>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</si>
  <si>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</si>
  <si>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</si>
  <si>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</si>
  <si>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</si>
  <si>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</si>
  <si>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</si>
  <si>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</si>
  <si>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</si>
  <si>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</si>
  <si>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</si>
  <si>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</si>
  <si>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</si>
  <si>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</si>
  <si>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</si>
  <si>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</si>
  <si>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</si>
  <si>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</si>
  <si>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</si>
  <si>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</si>
  <si>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</si>
  <si>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</si>
  <si>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</si>
  <si>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</si>
  <si>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</si>
  <si>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</si>
  <si>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</si>
  <si>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</si>
  <si>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</si>
  <si>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</si>
  <si>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</si>
  <si>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</si>
  <si>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</si>
  <si>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</si>
  <si>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</si>
  <si>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</si>
  <si>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</si>
  <si>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</si>
  <si>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</si>
  <si>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</si>
  <si>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</si>
  <si>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</si>
  <si>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</si>
  <si>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</si>
  <si>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</si>
  <si>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</si>
  <si>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</si>
  <si>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</si>
  <si>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</si>
  <si>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</si>
  <si>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</si>
  <si>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</si>
  <si>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</si>
  <si>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</si>
  <si>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</si>
  <si>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</si>
  <si>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</si>
  <si>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</si>
  <si>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</si>
  <si>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</si>
  <si>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</si>
  <si>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</si>
  <si>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</si>
  <si>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</si>
  <si>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</si>
  <si>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</si>
  <si>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</si>
  <si>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</si>
  <si>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</si>
  <si>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</si>
  <si>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</si>
  <si>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</si>
  <si>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</si>
  <si>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</si>
  <si>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</si>
  <si>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</si>
  <si>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</si>
  <si>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</si>
  <si>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</si>
  <si>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</si>
  <si>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</si>
  <si>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</si>
  <si>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</si>
  <si>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</si>
  <si>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</si>
  <si>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</si>
  <si>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</si>
  <si>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</si>
  <si>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</si>
  <si>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</si>
  <si>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</si>
  <si>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</si>
  <si>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</si>
  <si>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</si>
  <si>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</si>
  <si>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</si>
  <si>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</si>
  <si>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</si>
  <si>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</si>
  <si>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</si>
  <si>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</si>
  <si>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</si>
  <si>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</si>
  <si>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</si>
  <si>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</si>
  <si>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</si>
  <si>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</si>
  <si>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</si>
  <si>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</si>
  <si>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</si>
  <si>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</si>
  <si>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</si>
  <si>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</si>
  <si>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</si>
  <si>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</si>
  <si>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</si>
  <si>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</si>
  <si>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</si>
  <si>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</si>
  <si>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</si>
  <si>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</si>
  <si>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</si>
  <si>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</si>
  <si>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</si>
  <si>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</si>
  <si>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</si>
  <si>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</si>
  <si>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</si>
  <si>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</si>
  <si>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</si>
  <si>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</si>
  <si>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</si>
  <si>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</si>
  <si>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</si>
  <si>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</si>
  <si>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</si>
  <si>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</si>
  <si>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</si>
  <si>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</si>
  <si>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</si>
  <si>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</si>
  <si>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</si>
  <si>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</si>
  <si>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</si>
  <si>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</si>
  <si>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</si>
  <si>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</si>
  <si>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</si>
  <si>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</si>
  <si>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</si>
  <si>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</si>
  <si>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</si>
  <si>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</si>
  <si>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</si>
  <si>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</si>
  <si>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</si>
  <si>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</si>
  <si>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</si>
  <si>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</si>
  <si>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</si>
  <si>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</si>
  <si>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</si>
  <si>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</si>
  <si>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</si>
  <si>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</si>
  <si>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</si>
  <si>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</si>
  <si>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</si>
  <si>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</si>
  <si>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</si>
  <si>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</si>
  <si>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</si>
  <si>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</si>
  <si>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</si>
  <si>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</si>
  <si>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</si>
  <si>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</si>
  <si>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</si>
  <si>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</si>
  <si>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</si>
  <si>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</si>
  <si>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</si>
  <si>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</si>
  <si>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</si>
  <si>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</si>
  <si>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</si>
  <si>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</si>
  <si>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</si>
  <si>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</si>
  <si>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</si>
  <si>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</si>
  <si>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</si>
  <si>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</si>
  <si>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</si>
  <si>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</si>
  <si>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</si>
  <si>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</si>
  <si>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</si>
  <si>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</si>
  <si>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</si>
  <si>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</si>
  <si>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</si>
  <si>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</si>
  <si>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</si>
  <si>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</si>
  <si>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</si>
  <si>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</si>
  <si>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</si>
  <si>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</si>
  <si>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</si>
  <si>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</si>
  <si>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</si>
  <si>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</si>
  <si>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</si>
  <si>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</si>
  <si>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</si>
  <si>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</si>
  <si>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</si>
  <si>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</si>
  <si>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</si>
  <si>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</si>
  <si>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</si>
  <si>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</si>
  <si>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</si>
  <si>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</si>
  <si>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</si>
  <si>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</si>
  <si>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</si>
  <si>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</si>
  <si>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</si>
  <si>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</si>
  <si>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</si>
  <si>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</si>
  <si>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</si>
  <si>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</si>
  <si>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</si>
  <si>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</si>
  <si>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</si>
  <si>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</si>
  <si>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</si>
  <si>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</si>
  <si>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</si>
  <si>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</si>
  <si>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</si>
  <si>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</si>
  <si>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</si>
  <si>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</si>
  <si>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</si>
  <si>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</si>
  <si>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</si>
  <si>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</si>
  <si>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</si>
  <si>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</si>
  <si>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</si>
  <si>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</si>
  <si>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</si>
  <si>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</si>
  <si>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</si>
  <si>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</si>
  <si>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</si>
  <si>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</si>
  <si>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</si>
  <si>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</si>
  <si>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</si>
  <si>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</si>
  <si>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</si>
  <si>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</si>
  <si>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</si>
  <si>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</si>
  <si>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</si>
  <si>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</si>
  <si>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</si>
  <si>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</si>
  <si>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</si>
  <si>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</si>
  <si>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</si>
  <si>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</si>
  <si>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</si>
  <si>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</si>
  <si>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</si>
  <si>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</si>
  <si>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</si>
  <si>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</si>
  <si>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</si>
  <si>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</si>
  <si>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</si>
  <si>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</si>
  <si>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</si>
  <si>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</si>
  <si>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</si>
  <si>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</si>
  <si>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</si>
  <si>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</si>
  <si>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</si>
  <si>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</si>
  <si>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</si>
  <si>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</si>
  <si>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</si>
  <si>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</si>
  <si>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</si>
  <si>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</si>
  <si>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</si>
  <si>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</si>
  <si>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</si>
  <si>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</si>
  <si>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</si>
  <si>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</si>
  <si>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</si>
  <si>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</si>
  <si>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</si>
  <si>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</si>
  <si>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</si>
  <si>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</si>
  <si>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</si>
  <si>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</si>
  <si>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</si>
  <si>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</si>
  <si>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</si>
  <si>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</si>
  <si>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</si>
  <si>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</si>
  <si>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</si>
  <si>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</si>
  <si>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</si>
  <si>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</si>
  <si>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</si>
  <si>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</si>
  <si>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</si>
  <si>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</si>
  <si>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</si>
  <si>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</si>
  <si>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</si>
  <si>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</si>
  <si>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</si>
  <si>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</si>
  <si>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</si>
  <si>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</si>
  <si>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</si>
  <si>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</si>
  <si>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</si>
  <si>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</si>
  <si>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</si>
  <si>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</si>
  <si>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</si>
  <si>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</si>
  <si>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</si>
  <si>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</si>
  <si>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</si>
  <si>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</si>
  <si>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</si>
  <si>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</si>
  <si>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</si>
  <si>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</si>
  <si>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</si>
  <si>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</si>
  <si>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</si>
  <si>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</si>
  <si>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</si>
  <si>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</si>
  <si>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</si>
  <si>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</si>
  <si>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</si>
  <si>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</si>
  <si>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</si>
  <si>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</si>
  <si>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</si>
  <si>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</si>
  <si>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</si>
  <si>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</si>
  <si>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</si>
  <si>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</si>
  <si>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</si>
  <si>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</si>
  <si>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</si>
  <si>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</si>
  <si>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</si>
  <si>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</si>
  <si>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</si>
  <si>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</si>
  <si>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</si>
  <si>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</si>
  <si>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</si>
  <si>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</si>
  <si>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</si>
  <si>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</si>
  <si>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</si>
  <si>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</si>
  <si>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</si>
  <si>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</si>
  <si>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</si>
  <si>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</si>
  <si>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</si>
  <si>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</si>
  <si>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</si>
  <si>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</si>
  <si>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</si>
  <si>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</si>
  <si>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</si>
  <si>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</si>
  <si>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</si>
  <si>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</si>
  <si>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</si>
  <si>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</si>
  <si>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</si>
  <si>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</si>
  <si>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</si>
  <si>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</si>
  <si>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</si>
  <si>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</si>
  <si>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</si>
  <si>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</si>
  <si>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</si>
  <si>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</si>
  <si>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</si>
  <si>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</si>
  <si>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</si>
  <si>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</si>
  <si>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</si>
  <si>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</si>
  <si>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</si>
  <si>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</si>
  <si>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</si>
  <si>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</si>
  <si>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</si>
  <si>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</si>
  <si>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</si>
  <si>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</si>
  <si>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</si>
  <si>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</si>
  <si>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</si>
  <si>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</si>
  <si>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</si>
  <si>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</si>
  <si>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</si>
  <si>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</si>
  <si>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</si>
  <si>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</si>
  <si>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</si>
  <si>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</si>
  <si>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</si>
  <si>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</si>
  <si>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</si>
  <si>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</si>
  <si>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</si>
  <si>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</si>
  <si>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</si>
  <si>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</si>
  <si>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</si>
  <si>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</si>
  <si>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</si>
  <si>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</si>
  <si>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</si>
  <si>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</si>
  <si>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</si>
  <si>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</si>
  <si>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</si>
  <si>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</si>
  <si>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</si>
  <si>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</si>
  <si>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</si>
  <si>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</si>
  <si>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</si>
  <si>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</si>
  <si>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</si>
  <si>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</si>
  <si>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</si>
  <si>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</si>
  <si>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</si>
  <si>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</si>
  <si>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</si>
  <si>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</si>
  <si>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</si>
  <si>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</si>
  <si>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</si>
  <si>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</si>
  <si>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</si>
  <si>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</si>
  <si>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</si>
  <si>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</si>
  <si>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</si>
  <si>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</si>
  <si>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</si>
  <si>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</si>
  <si>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</si>
  <si>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</si>
  <si>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</si>
  <si>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</si>
  <si>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</si>
  <si>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</si>
  <si>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</si>
  <si>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</si>
  <si>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</si>
  <si>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</si>
  <si>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</si>
  <si>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</si>
  <si>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</si>
  <si>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</si>
  <si>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</si>
  <si>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</si>
  <si>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</si>
  <si>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</si>
  <si>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</si>
  <si>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</si>
  <si>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</si>
  <si>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</si>
  <si>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</si>
  <si>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</si>
  <si>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</si>
  <si>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</si>
  <si>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</si>
  <si>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</si>
  <si>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</si>
  <si>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</si>
  <si>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</si>
  <si>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</si>
  <si>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</si>
  <si>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</si>
  <si>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</si>
  <si>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</si>
  <si>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</si>
  <si>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</si>
  <si>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</si>
  <si>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</si>
  <si>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</si>
  <si>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</si>
  <si>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</si>
  <si>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</si>
  <si>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</si>
  <si>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</si>
  <si>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</si>
  <si>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</si>
  <si>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</si>
  <si>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</si>
  <si>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</si>
  <si>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</si>
  <si>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</si>
  <si>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</si>
  <si>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</si>
  <si>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</si>
  <si>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</si>
  <si>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</si>
  <si>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</si>
  <si>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</si>
  <si>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</si>
  <si>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</si>
  <si>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</si>
  <si>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</si>
  <si>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</si>
  <si>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</si>
  <si>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</si>
  <si>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</si>
  <si>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</si>
  <si>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</si>
  <si>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</si>
  <si>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</si>
  <si>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</si>
  <si>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</si>
  <si>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</si>
  <si>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</si>
  <si>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</si>
  <si>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</si>
  <si>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</si>
  <si>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</si>
  <si>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</si>
  <si>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</si>
  <si>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</si>
  <si>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</si>
  <si>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</si>
  <si>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</si>
  <si>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</si>
  <si>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</si>
  <si>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</si>
  <si>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</si>
  <si>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</si>
  <si>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</si>
  <si>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</si>
  <si>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</si>
  <si>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</si>
  <si>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</si>
  <si>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</si>
  <si>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</si>
  <si>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</si>
  <si>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</si>
  <si>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</si>
  <si>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</si>
  <si>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</si>
  <si>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</si>
  <si>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</si>
  <si>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</si>
  <si>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</si>
  <si>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</si>
  <si>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</si>
  <si>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</si>
  <si>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</si>
  <si>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</si>
  <si>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</si>
  <si>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</si>
  <si>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</si>
  <si>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</si>
  <si>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</si>
  <si>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</si>
  <si>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</si>
  <si>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</si>
  <si>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</si>
  <si>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</si>
  <si>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</si>
  <si>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</si>
  <si>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</si>
  <si>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</si>
  <si>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</si>
  <si>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</si>
  <si>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</si>
  <si>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</si>
  <si>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</si>
  <si>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</si>
  <si>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</si>
  <si>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</si>
  <si>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</si>
  <si>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</si>
  <si>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</si>
  <si>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</si>
  <si>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</si>
  <si>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</si>
  <si>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</si>
  <si>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</si>
  <si>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</si>
  <si>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</si>
  <si>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</si>
  <si>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</si>
  <si>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</si>
  <si>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</si>
  <si>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</si>
  <si>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</si>
  <si>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</si>
  <si>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</si>
  <si>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</si>
  <si>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</si>
  <si>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</si>
  <si>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</si>
  <si>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</si>
  <si>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</si>
  <si>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</si>
  <si>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</si>
  <si>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</si>
  <si>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</si>
  <si>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</si>
  <si>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</si>
  <si>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</si>
  <si>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</si>
  <si>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</si>
  <si>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</si>
  <si>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</si>
  <si>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</si>
  <si>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</si>
  <si>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</si>
  <si>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</si>
  <si>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</si>
  <si>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</si>
  <si>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</si>
  <si>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</si>
  <si>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</si>
  <si>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</si>
  <si>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</si>
  <si>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</si>
  <si>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</si>
  <si>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</si>
  <si>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</si>
  <si>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</si>
  <si>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</si>
  <si>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</si>
  <si>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</si>
  <si>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</si>
  <si>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</si>
  <si>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</si>
  <si>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</si>
  <si>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</si>
  <si>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</si>
  <si>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</si>
  <si>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</si>
  <si>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</si>
  <si>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</si>
  <si>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</si>
  <si>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</si>
  <si>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</si>
  <si>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</si>
  <si>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</si>
  <si>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</si>
  <si>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</si>
  <si>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</si>
  <si>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</si>
  <si>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</si>
  <si>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</si>
  <si>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</si>
  <si>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</si>
  <si>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</si>
  <si>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</si>
  <si>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</si>
  <si>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</si>
  <si>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</si>
  <si>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</si>
  <si>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</si>
  <si>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</si>
  <si>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</si>
  <si>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</si>
  <si>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</si>
  <si>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</si>
  <si>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</si>
  <si>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</si>
  <si>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</si>
  <si>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</si>
  <si>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</si>
  <si>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</si>
  <si>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</si>
  <si>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</si>
  <si>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</si>
  <si>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</si>
  <si>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</si>
  <si>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</si>
  <si>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</si>
  <si>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</si>
  <si>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</si>
  <si>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</si>
  <si>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</si>
  <si>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</si>
  <si>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</si>
  <si>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</si>
  <si>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</si>
  <si>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</si>
  <si>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</si>
  <si>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</si>
  <si>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</si>
  <si>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</si>
  <si>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</si>
  <si>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</si>
  <si>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</si>
  <si>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</si>
  <si>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</si>
  <si>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</si>
  <si>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</si>
  <si>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</si>
  <si>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</si>
  <si>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</si>
  <si>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</si>
  <si>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</si>
  <si>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</si>
  <si>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</si>
  <si>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</si>
  <si>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</si>
  <si>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</si>
  <si>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</si>
  <si>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</si>
  <si>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</si>
  <si>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</si>
  <si>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</si>
  <si>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</si>
  <si>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</si>
  <si>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</si>
  <si>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</si>
  <si>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</si>
  <si>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</si>
  <si>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</si>
  <si>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</si>
  <si>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</si>
  <si>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</si>
  <si>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</si>
  <si>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</si>
  <si>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</si>
  <si>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</si>
  <si>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</si>
  <si>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</si>
  <si>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</si>
  <si>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</si>
  <si>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</si>
  <si>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</si>
  <si>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</si>
  <si>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</si>
  <si>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</si>
  <si>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</si>
  <si>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</si>
  <si>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</si>
  <si>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</si>
  <si>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</si>
  <si>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</si>
  <si>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</si>
  <si>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</si>
  <si>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</si>
  <si>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</si>
  <si>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</si>
  <si>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</si>
  <si>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</si>
  <si>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</si>
  <si>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</si>
  <si>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</si>
  <si>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</si>
  <si>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</si>
  <si>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</si>
  <si>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</si>
  <si>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</si>
  <si>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</si>
  <si>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</si>
  <si>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</si>
  <si>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</si>
  <si>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</si>
  <si>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</si>
  <si>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</si>
  <si>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</si>
  <si>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</si>
  <si>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</si>
  <si>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</si>
  <si>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</si>
  <si>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</si>
  <si>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</si>
  <si>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</si>
  <si>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</si>
  <si>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</si>
  <si>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</si>
  <si>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</si>
  <si>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</si>
  <si>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</si>
  <si>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</si>
  <si>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</si>
  <si>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</si>
  <si>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</si>
  <si>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</si>
  <si>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</si>
  <si>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</si>
  <si>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</si>
  <si>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</si>
  <si>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</si>
  <si>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</si>
  <si>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</si>
  <si>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</si>
  <si>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</si>
  <si>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</si>
  <si>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</si>
  <si>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</si>
  <si>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</si>
  <si>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</si>
  <si>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</si>
  <si>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</si>
  <si>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</si>
  <si>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</si>
  <si>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</si>
  <si>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</si>
  <si>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</si>
  <si>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</si>
  <si>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</si>
  <si>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</si>
  <si>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</si>
  <si>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</si>
  <si>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</si>
  <si>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</si>
  <si>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</si>
  <si>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</si>
  <si>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</si>
  <si>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</si>
  <si>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</si>
  <si>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</si>
  <si>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</si>
  <si>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</si>
  <si>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</si>
  <si>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</si>
  <si>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</si>
  <si>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</si>
  <si>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</si>
  <si>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</si>
  <si>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</si>
  <si>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</si>
  <si>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</si>
  <si>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</si>
  <si>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</si>
  <si>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</si>
  <si>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</si>
  <si>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</si>
  <si>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</si>
  <si>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</si>
  <si>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</si>
  <si>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</si>
  <si>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</si>
  <si>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</si>
  <si>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</si>
  <si>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</si>
  <si>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</si>
  <si>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</si>
  <si>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</si>
  <si>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</si>
  <si>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</si>
  <si>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</si>
  <si>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</si>
  <si>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</si>
  <si>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</si>
  <si>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</si>
  <si>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</si>
  <si>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</si>
  <si>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</si>
  <si>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</si>
  <si>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</si>
  <si>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</si>
  <si>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</si>
  <si>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</si>
  <si>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</si>
  <si>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</si>
  <si>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</si>
  <si>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</si>
  <si>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</si>
  <si>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</si>
  <si>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</si>
  <si>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</si>
  <si>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</si>
  <si>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</si>
  <si>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</si>
  <si>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</si>
  <si>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</si>
  <si>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</si>
  <si>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</si>
  <si>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</si>
  <si>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</si>
  <si>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</si>
  <si>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</si>
  <si>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</si>
  <si>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</si>
  <si>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</si>
  <si>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</si>
  <si>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</si>
  <si>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</si>
  <si>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</si>
  <si>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</si>
  <si>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</si>
  <si>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</si>
  <si>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</si>
  <si>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</si>
  <si>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</si>
  <si>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</si>
  <si>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</si>
  <si>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</si>
  <si>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</si>
  <si>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</si>
  <si>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</si>
  <si>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</si>
  <si>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</si>
  <si>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</si>
  <si>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</si>
  <si>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</si>
  <si>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</si>
  <si>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</si>
  <si>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</si>
  <si>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</si>
  <si>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</si>
  <si>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</si>
  <si>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</si>
  <si>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</si>
  <si>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</si>
  <si>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</si>
  <si>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</si>
  <si>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</si>
  <si>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</si>
  <si>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</si>
  <si>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</si>
  <si>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</si>
  <si>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</si>
  <si>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</si>
  <si>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</si>
  <si>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</si>
  <si>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</si>
  <si>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</si>
  <si>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</si>
  <si>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</si>
  <si>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</si>
  <si>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</si>
  <si>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</si>
  <si>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</si>
  <si>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</si>
  <si>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</si>
  <si>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</si>
  <si>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</si>
  <si>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</si>
  <si>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</si>
  <si>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</si>
  <si>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</si>
  <si>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</si>
  <si>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</si>
  <si>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</si>
  <si>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</si>
  <si>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</si>
  <si>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</si>
  <si>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</si>
  <si>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</si>
  <si>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</si>
  <si>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</si>
  <si>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</si>
  <si>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</si>
  <si>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</si>
  <si>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</si>
  <si>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</si>
  <si>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</si>
  <si>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</si>
  <si>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</si>
  <si>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</si>
  <si>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</si>
  <si>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</si>
  <si>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</si>
  <si>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</si>
  <si>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</si>
  <si>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</si>
  <si>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</si>
  <si>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</si>
  <si>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</si>
  <si>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</si>
  <si>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</si>
  <si>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</si>
  <si>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</si>
  <si>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</si>
  <si>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</si>
  <si>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</si>
  <si>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</si>
  <si>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</si>
  <si>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</si>
  <si>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</si>
  <si>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</si>
  <si>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</si>
  <si>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</si>
  <si>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</si>
  <si>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</si>
  <si>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</si>
  <si>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</si>
  <si>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</si>
  <si>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</si>
  <si>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</si>
  <si>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</si>
  <si>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</si>
  <si>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</si>
  <si>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</si>
  <si>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</si>
  <si>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</si>
  <si>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</si>
  <si>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</si>
  <si>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</si>
  <si>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</si>
  <si>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</si>
  <si>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</si>
  <si>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</si>
  <si>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</si>
  <si>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</si>
  <si>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</si>
  <si>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</si>
  <si>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</si>
  <si>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</si>
  <si>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</si>
  <si>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</si>
  <si>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</si>
  <si>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</si>
  <si>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</si>
  <si>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</si>
  <si>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</si>
  <si>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</si>
  <si>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</si>
  <si>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</si>
  <si>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</si>
  <si>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</si>
  <si>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</si>
  <si>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</si>
  <si>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</si>
  <si>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</si>
  <si>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</si>
  <si>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</si>
  <si>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</si>
  <si>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</si>
  <si>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</si>
  <si>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</si>
  <si>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</si>
  <si>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</si>
  <si>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</si>
  <si>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</si>
  <si>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</si>
  <si>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</si>
  <si>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</si>
  <si>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</si>
  <si>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</si>
  <si>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</si>
  <si>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</si>
  <si>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</si>
  <si>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</si>
  <si>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</si>
  <si>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</si>
  <si>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</si>
  <si>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</si>
  <si>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</si>
  <si>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</si>
  <si>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</si>
  <si>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</si>
  <si>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</si>
  <si>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</si>
  <si>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</si>
  <si>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</si>
  <si>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</si>
  <si>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</si>
  <si>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</si>
  <si>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</si>
  <si>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</si>
  <si>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</si>
  <si>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</si>
  <si>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</si>
  <si>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</si>
  <si>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</si>
  <si>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</si>
  <si>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</si>
  <si>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</si>
  <si>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</si>
  <si>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</si>
  <si>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</si>
  <si>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</si>
  <si>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</si>
  <si>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</si>
  <si>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</si>
  <si>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</si>
  <si>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</si>
  <si>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</si>
  <si>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</si>
  <si>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</si>
  <si>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</si>
  <si>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</si>
  <si>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</si>
  <si>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</si>
  <si>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</si>
  <si>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</si>
  <si>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</si>
  <si>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</si>
  <si>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</si>
  <si>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</si>
  <si>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</si>
  <si>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</si>
  <si>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</si>
  <si>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</si>
  <si>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</si>
  <si>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</si>
  <si>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</si>
  <si>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</si>
  <si>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</si>
  <si>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</si>
  <si>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</si>
  <si>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</si>
  <si>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</si>
  <si>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</si>
  <si>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</si>
  <si>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</si>
  <si>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</si>
  <si>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</si>
  <si>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</si>
  <si>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</si>
  <si>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</si>
  <si>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</si>
  <si>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</si>
  <si>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</si>
  <si>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</si>
  <si>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</si>
  <si>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</si>
  <si>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</si>
  <si>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</si>
  <si>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</si>
  <si>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</si>
  <si>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</si>
  <si>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</si>
  <si>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</si>
  <si>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</si>
  <si>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</si>
  <si>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</si>
  <si>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</si>
  <si>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</si>
  <si>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</si>
  <si>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</si>
  <si>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</si>
  <si>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</si>
  <si>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</si>
  <si>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</si>
  <si>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</si>
  <si>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</si>
  <si>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</si>
  <si>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</si>
  <si>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</si>
  <si>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</si>
  <si>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</si>
  <si>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</si>
  <si>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</si>
  <si>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</si>
  <si>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</si>
  <si>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</si>
  <si>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</si>
  <si>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</si>
  <si>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</si>
  <si>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</si>
  <si>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</si>
  <si>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</si>
  <si>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</si>
  <si>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</si>
  <si>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</si>
  <si>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</si>
  <si>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</si>
  <si>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</si>
  <si>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</si>
  <si>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</si>
  <si>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</si>
  <si>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</si>
  <si>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</si>
  <si>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</si>
  <si>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</si>
  <si>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</si>
  <si>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</si>
  <si>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</si>
  <si>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</si>
  <si>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</si>
  <si>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</si>
  <si>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</si>
  <si>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</si>
  <si>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</si>
  <si>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</si>
  <si>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</si>
  <si>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</si>
  <si>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</si>
  <si>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</si>
  <si>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</si>
  <si>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</si>
  <si>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</si>
  <si>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</si>
  <si>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</si>
  <si>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</si>
  <si>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</si>
  <si>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</si>
  <si>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</si>
  <si>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</si>
  <si>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</si>
  <si>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</si>
  <si>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</si>
  <si>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</si>
  <si>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</si>
  <si>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</si>
  <si>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</si>
  <si>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</si>
  <si>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</si>
  <si>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</si>
  <si>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</si>
  <si>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</si>
  <si>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</si>
  <si>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</si>
  <si>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</si>
  <si>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</si>
  <si>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</si>
  <si>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</si>
  <si>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</si>
  <si>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</si>
  <si>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</si>
  <si>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</si>
  <si>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</si>
  <si>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</si>
  <si>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</si>
  <si>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</si>
  <si>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</si>
  <si>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</si>
  <si>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</si>
  <si>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</si>
  <si>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</si>
  <si>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</si>
  <si>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</si>
  <si>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</si>
  <si>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</si>
  <si>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</si>
  <si>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</si>
  <si>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</si>
  <si>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</si>
  <si>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</si>
  <si>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</si>
  <si>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</si>
  <si>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</si>
  <si>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</si>
  <si>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</si>
  <si>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</si>
  <si>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</si>
  <si>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</si>
  <si>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</si>
  <si>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</si>
  <si>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</si>
  <si>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</si>
  <si>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</si>
  <si>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</si>
  <si>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</si>
  <si>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</si>
  <si>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</si>
  <si>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</si>
  <si>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</si>
  <si>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</si>
  <si>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</si>
  <si>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</si>
  <si>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</si>
  <si>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</si>
  <si>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</si>
  <si>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</si>
  <si>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</si>
  <si>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</si>
  <si>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</si>
  <si>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</si>
  <si>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</si>
  <si>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</si>
  <si>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</si>
  <si>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</si>
  <si>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</si>
  <si>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</si>
  <si>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</si>
  <si>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</si>
  <si>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</si>
  <si>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</si>
  <si>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</si>
  <si>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</si>
  <si>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</si>
  <si>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</si>
  <si>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</si>
  <si>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</si>
  <si>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</si>
  <si>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</si>
  <si>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</si>
  <si>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</si>
  <si>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</si>
  <si>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</si>
  <si>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</si>
  <si>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</si>
  <si>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</si>
  <si>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</si>
  <si>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</si>
  <si>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</si>
  <si>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</si>
  <si>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</si>
  <si>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</si>
  <si>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</si>
  <si>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</si>
  <si>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</si>
  <si>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</si>
  <si>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</si>
  <si>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</si>
  <si>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</si>
  <si>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</si>
  <si>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</si>
  <si>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</si>
  <si>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</si>
  <si>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</si>
  <si>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</si>
  <si>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</si>
  <si>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</si>
  <si>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</si>
  <si>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</si>
  <si>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</si>
  <si>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</si>
  <si>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</si>
  <si>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</si>
  <si>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</si>
  <si>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</si>
  <si>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</si>
  <si>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</si>
  <si>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</si>
  <si>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</si>
  <si>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</si>
  <si>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</si>
  <si>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</si>
  <si>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</si>
  <si>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</si>
  <si>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</si>
  <si>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</si>
  <si>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</si>
  <si>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</si>
  <si>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</si>
  <si>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</si>
  <si>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</si>
  <si>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</si>
  <si>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</si>
  <si>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</si>
  <si>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</si>
  <si>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</si>
  <si>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</si>
  <si>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</si>
  <si>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</si>
  <si>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</si>
  <si>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</si>
  <si>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</si>
  <si>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</si>
  <si>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</si>
  <si>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</si>
  <si>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</si>
  <si>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</si>
  <si>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</si>
  <si>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</si>
  <si>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</si>
  <si>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</si>
  <si>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</si>
  <si>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</si>
  <si>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</si>
  <si>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</si>
  <si>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</si>
  <si>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</si>
  <si>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</si>
  <si>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</si>
  <si>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</si>
  <si>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</si>
  <si>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</si>
  <si>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</si>
  <si>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</si>
  <si>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</si>
  <si>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</si>
  <si>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</si>
  <si>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</si>
  <si>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</si>
  <si>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</si>
  <si>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</si>
  <si>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</si>
  <si>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</si>
  <si>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</si>
  <si>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</si>
  <si>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</si>
  <si>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</si>
  <si>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</si>
  <si>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</si>
  <si>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</si>
  <si>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</si>
  <si>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</si>
  <si>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</si>
  <si>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</si>
  <si>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</si>
  <si>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</si>
  <si>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</si>
  <si>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</si>
  <si>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</si>
  <si>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</si>
  <si>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</si>
  <si>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</si>
  <si>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</si>
  <si>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</si>
  <si>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</si>
  <si>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</si>
  <si>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</si>
  <si>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</si>
  <si>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</si>
  <si>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</si>
  <si>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</si>
  <si>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</si>
  <si>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</si>
  <si>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</si>
  <si>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</si>
  <si>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</si>
  <si>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</si>
  <si>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</si>
  <si>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</si>
  <si>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</si>
  <si>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</si>
  <si>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</si>
  <si>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</si>
  <si>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</si>
  <si>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</si>
  <si>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</si>
  <si>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</si>
  <si>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</si>
  <si>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</si>
  <si>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</si>
  <si>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</si>
  <si>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</si>
  <si>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</si>
  <si>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</si>
  <si>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</si>
  <si>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</si>
  <si>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</si>
  <si>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</si>
  <si>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</si>
  <si>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</si>
  <si>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</si>
  <si>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</si>
  <si>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</si>
  <si>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</si>
  <si>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</si>
  <si>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</si>
  <si>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</si>
  <si>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</si>
  <si>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</si>
  <si>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</si>
  <si>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</si>
  <si>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</si>
  <si>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</si>
  <si>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</si>
  <si>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</si>
  <si>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</si>
  <si>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</si>
  <si>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</si>
  <si>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</si>
  <si>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</si>
  <si>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</si>
  <si>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</si>
  <si>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</si>
  <si>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</si>
  <si>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</si>
  <si>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</si>
  <si>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</si>
  <si>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</si>
  <si>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</si>
  <si>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</si>
  <si>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</si>
  <si>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</si>
  <si>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</si>
  <si>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</si>
  <si>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</si>
  <si>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</si>
  <si>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</si>
  <si>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</si>
  <si>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</si>
  <si>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</si>
  <si>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</si>
  <si>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</si>
  <si>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</si>
  <si>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</si>
  <si>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</si>
  <si>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</si>
  <si>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</si>
  <si>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</si>
  <si>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</si>
  <si>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</si>
  <si>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</si>
  <si>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</si>
  <si>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</si>
  <si>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</si>
  <si>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</si>
  <si>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</si>
  <si>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</si>
  <si>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</si>
  <si>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</si>
  <si>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</si>
  <si>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</si>
  <si>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</si>
  <si>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</si>
  <si>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</si>
  <si>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</si>
  <si>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</si>
  <si>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</si>
  <si>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</si>
  <si>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</si>
  <si>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</si>
  <si>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</si>
  <si>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</si>
  <si>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</si>
  <si>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</si>
  <si>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</si>
  <si>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</si>
  <si>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</si>
  <si>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</si>
  <si>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</si>
  <si>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</si>
  <si>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</si>
  <si>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</si>
  <si>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</si>
  <si>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</si>
  <si>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</si>
  <si>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</si>
  <si>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</si>
  <si>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</si>
  <si>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</si>
  <si>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</si>
  <si>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</si>
  <si>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</si>
  <si>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</si>
  <si>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</si>
  <si>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</si>
  <si>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</si>
  <si>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</si>
  <si>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</si>
  <si>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</si>
  <si>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</si>
  <si>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</si>
  <si>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</si>
  <si>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</si>
  <si>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</si>
  <si>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</si>
  <si>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</si>
  <si>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</si>
  <si>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</si>
  <si>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</si>
  <si>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</si>
  <si>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</si>
  <si>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</si>
  <si>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</si>
  <si>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</si>
  <si>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</si>
  <si>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</si>
  <si>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</si>
  <si>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</si>
  <si>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</si>
  <si>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</si>
  <si>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</si>
  <si>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</si>
  <si>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</si>
  <si>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</si>
  <si>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</si>
  <si>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</si>
  <si>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</si>
  <si>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</si>
  <si>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</si>
  <si>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</si>
  <si>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</si>
  <si>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</si>
  <si>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</si>
  <si>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</si>
  <si>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</si>
  <si>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</si>
  <si>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</si>
  <si>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</si>
  <si>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</si>
  <si>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</si>
  <si>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</si>
  <si>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</si>
  <si>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</si>
  <si>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</si>
  <si>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</si>
  <si>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</si>
  <si>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</si>
  <si>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</si>
  <si>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</si>
  <si>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</si>
  <si>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</si>
  <si>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</si>
  <si>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</si>
  <si>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</si>
  <si>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</si>
  <si>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</si>
  <si>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</si>
  <si>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</si>
  <si>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</si>
  <si>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</si>
  <si>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</si>
  <si>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</si>
  <si>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</si>
  <si>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</si>
  <si>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</si>
  <si>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</si>
  <si>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</si>
  <si>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</si>
  <si>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</si>
  <si>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</si>
  <si>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</si>
  <si>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</si>
  <si>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</si>
  <si>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</si>
  <si>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</si>
  <si>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</si>
  <si>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</si>
  <si>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</si>
  <si>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</si>
  <si>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</si>
  <si>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</si>
  <si>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</si>
  <si>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</si>
  <si>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</si>
  <si>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</si>
  <si>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</si>
  <si>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</si>
  <si>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</si>
  <si>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</si>
  <si>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</si>
  <si>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</si>
  <si>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</si>
  <si>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</si>
  <si>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</si>
  <si>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</si>
  <si>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</si>
  <si>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</si>
  <si>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</si>
  <si>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</si>
  <si>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</si>
  <si>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</si>
  <si>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</si>
  <si>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</si>
  <si>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</si>
  <si>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</si>
  <si>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</si>
  <si>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</si>
  <si>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</si>
  <si>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</si>
  <si>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</si>
  <si>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</si>
  <si>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</si>
  <si>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</si>
  <si>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</si>
  <si>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</si>
  <si>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</si>
  <si>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</si>
  <si>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</si>
  <si>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</si>
  <si>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</si>
  <si>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</si>
  <si>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</si>
  <si>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</si>
  <si>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</si>
  <si>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</si>
  <si>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</si>
  <si>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</si>
  <si>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</si>
  <si>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</si>
  <si>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</si>
  <si>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</si>
  <si>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</si>
  <si>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</si>
  <si>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</si>
  <si>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</si>
  <si>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</si>
  <si>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</si>
  <si>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</si>
  <si>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</si>
  <si>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</si>
  <si>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</si>
  <si>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</si>
  <si>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</si>
  <si>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</si>
  <si>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</si>
  <si>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</si>
  <si>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</si>
  <si>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</si>
  <si>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</si>
  <si>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</si>
  <si>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</si>
  <si>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</si>
  <si>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</si>
  <si>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</si>
  <si>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</si>
  <si>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</si>
  <si>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</si>
  <si>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</si>
  <si>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</si>
  <si>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</si>
  <si>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</si>
  <si>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</si>
  <si>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</si>
  <si>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</si>
  <si>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</si>
  <si>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</si>
  <si>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</si>
  <si>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</si>
  <si>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</si>
  <si>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</si>
  <si>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</si>
  <si>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</si>
  <si>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</si>
  <si>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</si>
  <si>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</si>
  <si>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</si>
  <si>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</si>
  <si>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</si>
  <si>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</si>
  <si>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</si>
  <si>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</si>
  <si>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</si>
  <si>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</si>
  <si>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</si>
  <si>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</si>
  <si>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</si>
  <si>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</si>
  <si>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</si>
  <si>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</si>
  <si>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</si>
  <si>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</si>
  <si>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</si>
  <si>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</si>
  <si>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</si>
  <si>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</si>
  <si>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</si>
  <si>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</si>
  <si>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</si>
  <si>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</si>
  <si>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</si>
  <si>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</si>
  <si>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</si>
  <si>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</si>
  <si>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</si>
  <si>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</si>
  <si>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</si>
  <si>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</si>
  <si>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</si>
  <si>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</si>
  <si>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</si>
  <si>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</si>
  <si>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</si>
  <si>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</si>
  <si>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</si>
  <si>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</si>
  <si>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</si>
  <si>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</si>
  <si>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</si>
  <si>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</si>
  <si>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</si>
  <si>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</si>
  <si>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</si>
  <si>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</si>
  <si>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</si>
  <si>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</si>
  <si>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</si>
  <si>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</si>
  <si>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</si>
  <si>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</si>
  <si>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</si>
  <si>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</si>
  <si>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</si>
  <si>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</si>
  <si>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</si>
  <si>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</si>
  <si>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</si>
  <si>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</si>
  <si>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</si>
  <si>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</si>
  <si>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</si>
  <si>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</si>
  <si>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</si>
  <si>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</si>
  <si>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</si>
  <si>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</si>
  <si>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</si>
  <si>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</si>
  <si>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</si>
  <si>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</si>
  <si>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</si>
  <si>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</si>
  <si>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</si>
  <si>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</si>
  <si>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</si>
  <si>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</si>
  <si>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</si>
  <si>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</si>
  <si>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</si>
  <si>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</si>
  <si>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</si>
  <si>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</si>
  <si>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</si>
  <si>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</si>
  <si>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</si>
  <si>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</si>
  <si>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</si>
  <si>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</si>
  <si>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</si>
  <si>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</si>
  <si>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</si>
  <si>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</si>
  <si>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</si>
  <si>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</si>
  <si>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</si>
  <si>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</si>
  <si>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</si>
  <si>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</si>
  <si>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</si>
  <si>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</si>
  <si>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</si>
  <si>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</si>
  <si>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</si>
  <si>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</si>
  <si>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</si>
  <si>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</si>
  <si>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</si>
  <si>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</si>
  <si>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</si>
  <si>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</si>
  <si>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</si>
  <si>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</si>
  <si>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</si>
  <si>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</si>
  <si>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</si>
  <si>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</si>
  <si>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</si>
  <si>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</si>
  <si>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</si>
  <si>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</si>
  <si>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</si>
  <si>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</si>
  <si>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</si>
  <si>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</si>
  <si>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</si>
  <si>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</si>
  <si>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</si>
  <si>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</si>
  <si>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</si>
  <si>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</si>
  <si>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</si>
  <si>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</si>
  <si>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</si>
  <si>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</si>
  <si>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</si>
  <si>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</si>
  <si>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</si>
  <si>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</si>
  <si>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</si>
  <si>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</si>
  <si>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</si>
  <si>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</si>
  <si>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</si>
  <si>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</si>
  <si>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</si>
  <si>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</si>
  <si>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</si>
  <si>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</si>
  <si>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</si>
  <si>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</si>
  <si>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</si>
  <si>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</si>
  <si>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</si>
  <si>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</si>
  <si>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</si>
  <si>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</si>
  <si>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</si>
  <si>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</si>
  <si>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</si>
  <si>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</si>
  <si>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</si>
  <si>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</si>
  <si>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</si>
  <si>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</si>
  <si>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</si>
  <si>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</si>
  <si>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</si>
  <si>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</si>
  <si>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</si>
  <si>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</si>
  <si>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</si>
  <si>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</si>
  <si>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</si>
  <si>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</si>
  <si>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</si>
  <si>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</si>
  <si>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</si>
  <si>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</si>
  <si>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</si>
  <si>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</si>
  <si>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</si>
  <si>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</si>
  <si>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</si>
  <si>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</si>
  <si>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</si>
  <si>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</si>
  <si>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</si>
  <si>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</si>
  <si>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</si>
  <si>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</si>
  <si>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</si>
  <si>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</si>
  <si>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</si>
  <si>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</si>
  <si>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</si>
  <si>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</si>
  <si>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</si>
  <si>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</si>
  <si>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</si>
  <si>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</si>
  <si>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</si>
  <si>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</si>
  <si>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</si>
  <si>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</si>
  <si>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</si>
  <si>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</si>
  <si>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</si>
  <si>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</si>
  <si>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</si>
  <si>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</si>
  <si>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</si>
  <si>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</si>
  <si>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</si>
  <si>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</si>
  <si>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</si>
  <si>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</si>
  <si>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</si>
  <si>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</si>
  <si>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</si>
  <si>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</si>
  <si>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</si>
  <si>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</si>
  <si>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</si>
  <si>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</si>
  <si>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</si>
  <si>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</si>
  <si>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</si>
  <si>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</si>
  <si>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</si>
  <si>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</si>
  <si>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</si>
  <si>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</si>
  <si>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</si>
  <si>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</si>
  <si>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</si>
  <si>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</si>
  <si>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</si>
  <si>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</si>
  <si>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</si>
  <si>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</si>
  <si>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</si>
  <si>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</si>
  <si>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</si>
  <si>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</si>
  <si>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</si>
  <si>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</si>
  <si>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</si>
  <si>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</si>
  <si>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</si>
  <si>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</si>
  <si>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</si>
  <si>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</si>
  <si>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</si>
  <si>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</si>
  <si>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</si>
  <si>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</si>
  <si>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</si>
  <si>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</si>
  <si>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</si>
  <si>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</si>
  <si>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</si>
  <si>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</si>
  <si>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</si>
  <si>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</si>
  <si>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</si>
  <si>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</si>
  <si>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</si>
  <si>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</si>
  <si>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</si>
  <si>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</si>
  <si>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</si>
  <si>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</si>
  <si>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</si>
  <si>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</si>
  <si>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</si>
  <si>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</si>
  <si>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</si>
  <si>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</si>
  <si>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</si>
  <si>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</si>
  <si>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</si>
  <si>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</si>
  <si>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</si>
  <si>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</si>
  <si>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</si>
  <si>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</si>
  <si>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</si>
  <si>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</si>
  <si>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</si>
  <si>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</si>
  <si>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</si>
  <si>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</si>
  <si>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</si>
  <si>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</si>
  <si>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</si>
  <si>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</si>
  <si>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</si>
  <si>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</si>
  <si>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</si>
  <si>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</si>
  <si>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</si>
  <si>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</si>
  <si>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</si>
  <si>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</si>
  <si>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</si>
  <si>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</si>
  <si>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</si>
  <si>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</si>
  <si>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</si>
  <si>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</si>
  <si>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</si>
  <si>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</si>
  <si>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</si>
  <si>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</si>
  <si>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</si>
  <si>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</si>
  <si>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</si>
  <si>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</si>
  <si>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</si>
  <si>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</si>
  <si>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</si>
  <si>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</si>
  <si>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</si>
  <si>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</si>
  <si>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</si>
  <si>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</si>
  <si>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</si>
  <si>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</si>
  <si>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</si>
  <si>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</si>
  <si>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</si>
  <si>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</si>
  <si>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</si>
  <si>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</si>
  <si>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</si>
  <si>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</si>
  <si>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</si>
  <si>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</si>
  <si>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</si>
  <si>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</si>
  <si>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</si>
  <si>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</si>
  <si>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</si>
  <si>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</si>
  <si>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</si>
  <si>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</si>
  <si>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</si>
  <si>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</si>
  <si>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</si>
  <si>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</si>
  <si>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</si>
  <si>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</si>
  <si>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</si>
  <si>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</si>
  <si>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</si>
  <si>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</si>
  <si>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</si>
  <si>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</si>
  <si>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</si>
  <si>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</si>
  <si>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</si>
  <si>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</si>
  <si>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</si>
  <si>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</si>
  <si>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</si>
  <si>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</si>
  <si>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</si>
  <si>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</si>
  <si>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</si>
  <si>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</si>
  <si>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</si>
  <si>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</si>
  <si>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</si>
  <si>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</si>
  <si>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</si>
  <si>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</si>
  <si>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</si>
  <si>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</si>
  <si>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</si>
  <si>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</si>
  <si>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</si>
  <si>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</si>
  <si>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</si>
  <si>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</si>
  <si>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</si>
  <si>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</si>
  <si>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</si>
  <si>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</si>
  <si>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</si>
  <si>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</si>
  <si>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</si>
  <si>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</si>
  <si>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</si>
  <si>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</si>
  <si>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</si>
  <si>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</si>
  <si>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</si>
  <si>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</si>
  <si>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</si>
  <si>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</si>
  <si>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</si>
  <si>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</si>
  <si>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</si>
  <si>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</si>
  <si>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</si>
  <si>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</si>
  <si>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</si>
  <si>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</si>
  <si>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</si>
  <si>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</si>
  <si>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</si>
  <si>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</si>
  <si>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</si>
  <si>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</si>
  <si>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</si>
  <si>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</si>
  <si>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</si>
  <si>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</si>
  <si>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</si>
  <si>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</si>
  <si>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</si>
  <si>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</si>
  <si>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</si>
  <si>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</si>
  <si>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</si>
  <si>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</si>
  <si>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</si>
  <si>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</si>
  <si>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</si>
  <si>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</si>
  <si>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</si>
  <si>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</si>
  <si>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</si>
  <si>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</si>
  <si>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</si>
  <si>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</si>
  <si>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</si>
  <si>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</si>
  <si>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</si>
  <si>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</si>
  <si>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</si>
  <si>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</si>
  <si>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</si>
  <si>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</si>
  <si>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</si>
  <si>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</si>
  <si>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</si>
  <si>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</si>
  <si>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</si>
  <si>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</si>
  <si>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</si>
  <si>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</si>
  <si>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</si>
  <si>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</si>
  <si>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</si>
  <si>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</si>
  <si>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</si>
  <si>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</si>
  <si>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</si>
  <si>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</si>
  <si>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</si>
  <si>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</si>
  <si>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</si>
  <si>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</si>
  <si>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</si>
  <si>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</si>
  <si>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</si>
  <si>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</si>
  <si>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</si>
  <si>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</si>
  <si>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</si>
  <si>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</si>
  <si>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</si>
  <si>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</si>
  <si>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</si>
  <si>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</si>
  <si>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</si>
  <si>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</si>
  <si>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</si>
  <si>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</si>
  <si>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</si>
  <si>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</si>
  <si>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</si>
  <si>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</si>
  <si>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</si>
  <si>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</si>
  <si>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</si>
  <si>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</si>
  <si>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</si>
  <si>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</si>
  <si>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</si>
  <si>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</si>
  <si>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</si>
  <si>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</si>
  <si>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</si>
  <si>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</si>
  <si>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</si>
  <si>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</si>
  <si>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</si>
  <si>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</si>
  <si>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</si>
  <si>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</si>
  <si>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</si>
  <si>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</si>
  <si>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</si>
  <si>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</si>
  <si>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</si>
  <si>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</si>
  <si>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</si>
  <si>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</si>
  <si>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</si>
  <si>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</si>
  <si>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</si>
  <si>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</si>
  <si>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</si>
  <si>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</si>
  <si>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</si>
  <si>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</si>
  <si>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</si>
  <si>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</si>
  <si>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</si>
  <si>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</si>
  <si>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</si>
  <si>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</si>
  <si>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</si>
  <si>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</si>
  <si>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</si>
  <si>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</si>
  <si>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</si>
  <si>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</si>
  <si>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</si>
  <si>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</si>
  <si>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</si>
  <si>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</si>
  <si>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</si>
  <si>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</si>
  <si>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</si>
  <si>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</si>
  <si>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</si>
  <si>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</si>
  <si>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</si>
  <si>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</si>
  <si>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</si>
  <si>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</si>
  <si>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</si>
  <si>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</si>
  <si>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</si>
  <si>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</si>
  <si>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</si>
  <si>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</si>
  <si>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</si>
  <si>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</si>
  <si>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</si>
  <si>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</si>
  <si>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</si>
  <si>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</si>
  <si>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</si>
  <si>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</si>
  <si>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</si>
  <si>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</si>
  <si>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</si>
  <si>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</si>
  <si>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</si>
  <si>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</si>
  <si>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</si>
  <si>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</si>
  <si>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</si>
  <si>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</si>
  <si>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</si>
  <si>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</si>
  <si>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</si>
  <si>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</si>
  <si>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</si>
  <si>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</si>
  <si>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</si>
  <si>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</si>
  <si>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</si>
  <si>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</si>
  <si>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</si>
  <si>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</si>
  <si>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</si>
  <si>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</si>
  <si>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</si>
  <si>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</si>
  <si>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</si>
  <si>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</si>
  <si>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</si>
  <si>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</si>
  <si>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</si>
  <si>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</si>
  <si>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</si>
  <si>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</si>
  <si>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</si>
  <si>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</si>
  <si>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</si>
  <si>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</si>
  <si>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</si>
  <si>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</si>
  <si>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</si>
  <si>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</si>
  <si>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</si>
  <si>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</si>
  <si>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</si>
  <si>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</si>
  <si>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</si>
  <si>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</si>
  <si>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</si>
  <si>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</si>
  <si>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</si>
  <si>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</si>
  <si>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</si>
  <si>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</si>
  <si>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</si>
  <si>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</si>
  <si>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</si>
  <si>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</si>
  <si>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</si>
  <si>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</si>
  <si>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</si>
  <si>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</si>
  <si>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</si>
  <si>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</si>
  <si>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</si>
  <si>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</si>
  <si>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</si>
  <si>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</si>
  <si>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</si>
  <si>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</si>
  <si>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</si>
  <si>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</si>
  <si>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</si>
  <si>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</si>
  <si>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</si>
  <si>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</si>
  <si>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</si>
  <si>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</si>
  <si>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</si>
  <si>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</si>
  <si>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</si>
  <si>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</si>
  <si>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</si>
  <si>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</si>
  <si>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</si>
  <si>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</si>
  <si>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</si>
  <si>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</si>
  <si>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</si>
  <si>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</si>
  <si>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</si>
  <si>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</si>
  <si>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</si>
  <si>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</si>
  <si>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</si>
  <si>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</si>
  <si>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</si>
  <si>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</si>
  <si>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</si>
  <si>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</si>
  <si>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</si>
  <si>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</si>
  <si>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</si>
  <si>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</si>
  <si>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</si>
  <si>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</si>
  <si>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</si>
  <si>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</si>
  <si>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</si>
  <si>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</si>
  <si>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</si>
  <si>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</si>
  <si>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</si>
  <si>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</si>
  <si>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</si>
  <si>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</si>
  <si>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</si>
  <si>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</si>
  <si>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</si>
  <si>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</si>
  <si>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</si>
  <si>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</si>
  <si>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</si>
  <si>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</si>
  <si>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</si>
  <si>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</si>
  <si>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</si>
  <si>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</si>
  <si>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</si>
  <si>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</si>
  <si>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</si>
  <si>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</si>
  <si>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</si>
  <si>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</si>
  <si>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</si>
  <si>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</si>
  <si>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</si>
  <si>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</si>
  <si>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</si>
  <si>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</si>
  <si>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</si>
  <si>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</si>
  <si>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</si>
  <si>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</si>
  <si>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</si>
  <si>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</si>
  <si>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</si>
  <si>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</si>
  <si>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</si>
  <si>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</si>
  <si>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</si>
  <si>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</si>
  <si>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</si>
  <si>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</si>
  <si>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</si>
  <si>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</si>
  <si>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</si>
  <si>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</si>
  <si>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</si>
  <si>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</si>
  <si>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</si>
  <si>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</si>
  <si>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</si>
  <si>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</si>
  <si>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</si>
  <si>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</si>
  <si>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</si>
  <si>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</si>
  <si>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</si>
  <si>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</si>
  <si>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</si>
  <si>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</si>
  <si>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</si>
  <si>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</si>
  <si>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</si>
  <si>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</si>
  <si>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</si>
  <si>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</si>
  <si>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</si>
  <si>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</si>
  <si>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</si>
  <si>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</si>
  <si>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</si>
  <si>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</si>
  <si>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</si>
  <si>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</si>
  <si>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</si>
  <si>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</si>
  <si>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</si>
  <si>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</si>
  <si>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</si>
  <si>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</si>
  <si>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</si>
  <si>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</si>
  <si>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</si>
  <si>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</si>
  <si>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</si>
  <si>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</si>
  <si>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</si>
  <si>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</si>
  <si>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</si>
  <si>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</si>
  <si>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</si>
  <si>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</si>
  <si>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</si>
  <si>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</si>
  <si>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</si>
  <si>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</si>
  <si>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</si>
  <si>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</si>
  <si>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</si>
  <si>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</si>
  <si>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</si>
  <si>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</si>
  <si>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</si>
  <si>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</si>
  <si>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</si>
  <si>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</si>
  <si>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</si>
  <si>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</si>
  <si>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</si>
  <si>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</si>
  <si>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</si>
  <si>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</si>
  <si>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</si>
  <si>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</si>
  <si>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</si>
  <si>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</si>
  <si>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</si>
  <si>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</si>
  <si>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</si>
  <si>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</si>
  <si>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</si>
  <si>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</si>
  <si>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</si>
  <si>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</si>
  <si>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</si>
  <si>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</si>
  <si>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</si>
  <si>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</si>
  <si>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</si>
  <si>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</si>
  <si>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</si>
  <si>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</si>
  <si>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</si>
  <si>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</si>
  <si>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</si>
  <si>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</si>
  <si>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</si>
  <si>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</si>
  <si>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</si>
  <si>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</si>
  <si>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</si>
  <si>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</si>
  <si>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</si>
  <si>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</si>
  <si>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</si>
  <si>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</si>
  <si>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</si>
  <si>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</si>
  <si>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</si>
  <si>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</si>
  <si>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</si>
  <si>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</si>
  <si>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</si>
  <si>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</si>
  <si>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</si>
  <si>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</si>
  <si>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</si>
  <si>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</si>
  <si>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</si>
  <si>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</si>
  <si>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</si>
  <si>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</si>
  <si>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</si>
  <si>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</si>
  <si>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</si>
  <si>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</si>
  <si>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</si>
  <si>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</si>
  <si>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</si>
  <si>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</si>
  <si>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</si>
  <si>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</si>
  <si>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</si>
  <si>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</si>
  <si>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</si>
  <si>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</si>
  <si>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</si>
  <si>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</si>
  <si>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</si>
  <si>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</si>
  <si>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</si>
  <si>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</si>
  <si>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</si>
  <si>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</si>
  <si>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</si>
  <si>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</si>
  <si>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</si>
  <si>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</si>
  <si>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</si>
  <si>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</si>
  <si>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</si>
  <si>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</si>
  <si>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</si>
  <si>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</si>
  <si>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</si>
  <si>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</si>
  <si>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</si>
  <si>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</si>
  <si>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</si>
  <si>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</si>
  <si>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</si>
  <si>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</si>
  <si>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</si>
  <si>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</si>
  <si>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</si>
  <si>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</si>
  <si>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</si>
  <si>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</si>
  <si>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</si>
  <si>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</si>
  <si>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</si>
  <si>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</si>
  <si>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</si>
  <si>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</si>
  <si>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</si>
  <si>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</si>
  <si>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</si>
  <si>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</si>
  <si>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</si>
  <si>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</si>
  <si>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</si>
  <si>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</si>
  <si>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</si>
  <si>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</si>
  <si>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</si>
  <si>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</si>
  <si>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</si>
  <si>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</si>
  <si>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</si>
  <si>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</si>
  <si>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</si>
  <si>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</si>
  <si>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</si>
  <si>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</si>
  <si>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</si>
  <si>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</si>
  <si>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</si>
  <si>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</si>
  <si>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</si>
  <si>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</si>
  <si>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</si>
  <si>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</si>
  <si>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</si>
  <si>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</si>
  <si>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</si>
  <si>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</si>
  <si>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</si>
  <si>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</si>
  <si>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</si>
  <si>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</si>
  <si>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</si>
  <si>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</si>
  <si>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</si>
  <si>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</si>
  <si>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</si>
  <si>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</si>
  <si>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</si>
  <si>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</si>
  <si>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</si>
  <si>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</si>
  <si>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</si>
  <si>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</si>
  <si>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</si>
  <si>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</si>
  <si>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</si>
  <si>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</si>
  <si>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</si>
  <si>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</si>
  <si>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</si>
  <si>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</si>
  <si>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</si>
  <si>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</si>
  <si>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</si>
  <si>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</si>
  <si>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</si>
  <si>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</si>
  <si>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</si>
  <si>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</si>
  <si>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</si>
  <si>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</si>
  <si>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</si>
  <si>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</si>
  <si>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</si>
  <si>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</si>
  <si>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</si>
  <si>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</si>
  <si>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</si>
  <si>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</si>
  <si>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</si>
  <si>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</si>
  <si>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</si>
  <si>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</si>
  <si>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</si>
  <si>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</si>
  <si>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</si>
  <si>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</si>
  <si>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</si>
  <si>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</si>
  <si>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</si>
  <si>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</si>
  <si>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</si>
  <si>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</si>
  <si>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</si>
  <si>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</si>
  <si>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</si>
  <si>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</si>
  <si>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</si>
  <si>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</si>
  <si>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</si>
  <si>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</si>
  <si>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</si>
  <si>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</si>
  <si>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</si>
  <si>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</si>
  <si>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</si>
  <si>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</si>
  <si>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</si>
  <si>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</si>
  <si>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</si>
  <si>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</si>
  <si>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</si>
  <si>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</si>
  <si>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</si>
  <si>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</si>
  <si>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</si>
  <si>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</si>
  <si>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</si>
  <si>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</si>
  <si>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</si>
  <si>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</si>
  <si>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</si>
  <si>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</si>
  <si>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</si>
  <si>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</si>
  <si>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</si>
  <si>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</si>
  <si>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</si>
  <si>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</si>
  <si>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</si>
  <si>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</si>
  <si>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</si>
  <si>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</si>
  <si>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</si>
  <si>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</si>
  <si>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</si>
  <si>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</si>
  <si>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</si>
  <si>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</si>
  <si>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</si>
  <si>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</si>
  <si>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</si>
  <si>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</si>
  <si>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</si>
  <si>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</si>
  <si>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</si>
  <si>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</si>
  <si>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</si>
  <si>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</si>
  <si>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</si>
  <si>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</si>
  <si>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</si>
  <si>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</si>
  <si>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</si>
  <si>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</si>
  <si>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</si>
  <si>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</si>
  <si>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</si>
  <si>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</si>
  <si>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</si>
  <si>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</si>
  <si>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</si>
  <si>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</si>
  <si>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</si>
  <si>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</si>
  <si>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</si>
  <si>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</si>
  <si>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</si>
  <si>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</si>
  <si>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</si>
  <si>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</si>
  <si>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</si>
  <si>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</si>
  <si>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</si>
  <si>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</si>
  <si>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</si>
  <si>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</si>
  <si>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</si>
  <si>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</si>
  <si>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</si>
  <si>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</si>
  <si>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</si>
  <si>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</si>
  <si>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</si>
  <si>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</si>
  <si>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</si>
  <si>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</si>
  <si>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</si>
  <si>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</si>
  <si>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</si>
  <si>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</si>
  <si>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</si>
  <si>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</si>
  <si>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</si>
  <si>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</si>
  <si>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</si>
  <si>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</si>
  <si>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</si>
  <si>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</si>
  <si>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</si>
  <si>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</si>
  <si>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</si>
  <si>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</si>
  <si>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</si>
  <si>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</si>
  <si>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</si>
  <si>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</si>
  <si>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</si>
  <si>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</si>
  <si>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</si>
  <si>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</si>
  <si>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</si>
  <si>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</si>
  <si>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</si>
  <si>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</si>
  <si>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</si>
  <si>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</si>
  <si>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</si>
  <si>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</si>
  <si>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</si>
  <si>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</si>
  <si>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</si>
  <si>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</si>
  <si>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</si>
  <si>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</si>
  <si>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</si>
  <si>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</si>
  <si>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</si>
  <si>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</si>
  <si>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</si>
  <si>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</si>
  <si>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</si>
  <si>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</si>
  <si>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</si>
  <si>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</si>
  <si>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</si>
  <si>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</si>
  <si>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</si>
  <si>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</si>
  <si>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</si>
  <si>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</si>
  <si>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</si>
  <si>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</si>
  <si>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</si>
  <si>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</si>
  <si>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</si>
  <si>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</si>
  <si>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</si>
  <si>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</si>
  <si>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</si>
  <si>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</si>
  <si>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</si>
  <si>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</si>
  <si>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</si>
  <si>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</si>
  <si>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</si>
  <si>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</si>
  <si>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</si>
  <si>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</si>
  <si>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</si>
  <si>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</si>
  <si>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</si>
  <si>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</si>
  <si>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</si>
  <si>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</si>
  <si>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</si>
  <si>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</si>
  <si>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</si>
  <si>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</si>
  <si>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</si>
  <si>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</si>
  <si>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</si>
  <si>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</si>
  <si>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</si>
  <si>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</si>
  <si>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</si>
  <si>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</si>
  <si>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</si>
  <si>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</si>
  <si>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</si>
  <si>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</si>
  <si>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</si>
  <si>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</si>
  <si>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</si>
  <si>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</si>
  <si>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</si>
  <si>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</si>
  <si>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</si>
  <si>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</si>
  <si>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</si>
  <si>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</si>
  <si>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</si>
  <si>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</si>
  <si>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</si>
  <si>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</si>
  <si>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</si>
  <si>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</si>
  <si>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</si>
  <si>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</si>
  <si>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</si>
  <si>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</si>
  <si>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</si>
  <si>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</si>
  <si>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</si>
  <si>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</si>
  <si>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</si>
  <si>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</si>
  <si>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</si>
  <si>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</si>
  <si>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</si>
  <si>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</si>
  <si>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</si>
  <si>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</si>
  <si>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</si>
  <si>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</si>
  <si>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</si>
  <si>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</si>
  <si>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</si>
  <si>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</si>
  <si>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</si>
  <si>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</si>
  <si>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</si>
  <si>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</si>
  <si>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</si>
  <si>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</si>
  <si>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</si>
  <si>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</si>
  <si>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</si>
  <si>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</si>
  <si>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</si>
  <si>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</si>
  <si>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</si>
  <si>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</si>
  <si>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</si>
  <si>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</si>
  <si>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</si>
  <si>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</si>
  <si>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</si>
  <si>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</si>
  <si>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</si>
  <si>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</si>
  <si>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</si>
  <si>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</si>
  <si>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</si>
  <si>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</si>
  <si>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</si>
  <si>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</si>
  <si>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</si>
  <si>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</si>
  <si>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</si>
  <si>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</si>
  <si>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</si>
  <si>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</si>
  <si>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</si>
  <si>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</si>
  <si>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</si>
  <si>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</si>
  <si>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</si>
  <si>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</si>
  <si>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</si>
  <si>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</si>
  <si>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</si>
  <si>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</si>
  <si>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</si>
  <si>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</si>
  <si>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</si>
  <si>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</si>
  <si>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</si>
  <si>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</si>
  <si>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</si>
  <si>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</si>
  <si>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</si>
  <si>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</si>
  <si>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</si>
  <si>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</si>
  <si>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</si>
  <si>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</si>
  <si>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</si>
  <si>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</si>
  <si>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</si>
  <si>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</si>
  <si>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</si>
  <si>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</si>
  <si>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</si>
  <si>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</si>
  <si>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</si>
  <si>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</si>
  <si>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</si>
  <si>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</si>
  <si>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</si>
  <si>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</si>
  <si>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</si>
  <si>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</si>
  <si>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</si>
  <si>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</si>
  <si>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</si>
  <si>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</si>
  <si>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</si>
  <si>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</si>
  <si>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</si>
  <si>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</si>
  <si>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</si>
  <si>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</si>
  <si>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</si>
  <si>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</si>
  <si>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</si>
  <si>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</si>
  <si>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</si>
  <si>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</si>
  <si>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</si>
  <si>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</si>
  <si>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</si>
  <si>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</si>
  <si>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</si>
  <si>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</si>
  <si>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</si>
  <si>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</si>
  <si>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</si>
  <si>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</si>
  <si>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</si>
  <si>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</si>
  <si>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</si>
  <si>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</si>
  <si>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</si>
  <si>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</si>
  <si>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</si>
  <si>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</si>
  <si>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</si>
  <si>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</si>
  <si>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</si>
  <si>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</si>
  <si>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</si>
  <si>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</si>
  <si>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</si>
  <si>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</si>
  <si>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</si>
  <si>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</si>
  <si>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</si>
  <si>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</si>
  <si>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</si>
  <si>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</si>
  <si>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</si>
  <si>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</si>
  <si>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</si>
  <si>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</si>
  <si>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</si>
  <si>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</si>
  <si>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</si>
  <si>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</si>
  <si>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</si>
  <si>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</si>
  <si>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</si>
  <si>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</si>
  <si>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</si>
  <si>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</si>
  <si>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</si>
  <si>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</si>
  <si>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</si>
  <si>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</si>
  <si>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</si>
  <si>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</si>
  <si>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</si>
  <si>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</si>
  <si>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</si>
  <si>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</si>
  <si>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</si>
  <si>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</si>
  <si>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</si>
  <si>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</si>
  <si>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</si>
  <si>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</si>
  <si>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</si>
  <si>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</si>
  <si>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</si>
  <si>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</si>
  <si>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</si>
  <si>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</si>
  <si>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</si>
  <si>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</si>
  <si>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</si>
  <si>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</si>
  <si>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</si>
  <si>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</si>
  <si>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</si>
  <si>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</si>
  <si>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</si>
  <si>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</si>
  <si>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</si>
  <si>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</si>
  <si>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</si>
  <si>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</si>
  <si>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</si>
  <si>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</si>
  <si>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</si>
  <si>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</si>
  <si>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</si>
  <si>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</si>
  <si>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</si>
  <si>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</si>
  <si>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</si>
  <si>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</si>
  <si>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</si>
  <si>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</si>
  <si>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</si>
  <si>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</si>
  <si>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</si>
  <si>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</si>
  <si>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</si>
  <si>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</si>
  <si>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</si>
  <si>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</si>
  <si>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</si>
  <si>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</si>
  <si>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</si>
  <si>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</si>
  <si>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</si>
  <si>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</si>
  <si>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</si>
  <si>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</si>
  <si>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</si>
  <si>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</si>
  <si>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</si>
  <si>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</si>
  <si>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</si>
  <si>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</si>
  <si>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</si>
  <si>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</si>
  <si>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</si>
  <si>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</si>
  <si>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</si>
  <si>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</si>
  <si>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</si>
  <si>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</si>
  <si>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</si>
  <si>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</si>
  <si>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</si>
  <si>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</si>
  <si>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</si>
  <si>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</si>
  <si>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</si>
  <si>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</si>
  <si>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</si>
  <si>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</si>
  <si>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</si>
  <si>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</si>
  <si>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</si>
  <si>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</si>
  <si>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</si>
  <si>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</si>
  <si>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</si>
  <si>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</si>
  <si>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</si>
  <si>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</si>
  <si>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</si>
  <si>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</si>
  <si>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</si>
  <si>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</si>
  <si>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</si>
  <si>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</si>
  <si>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</si>
  <si>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</si>
  <si>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</si>
  <si>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</si>
  <si>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</si>
  <si>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</si>
  <si>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</si>
  <si>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</si>
  <si>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</si>
  <si>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</si>
  <si>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</si>
  <si>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</si>
  <si>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</si>
  <si>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</si>
  <si>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</si>
  <si>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</si>
  <si>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</si>
  <si>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</si>
  <si>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</si>
  <si>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</si>
  <si>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</si>
  <si>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</si>
  <si>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</si>
  <si>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</si>
  <si>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</si>
  <si>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</si>
  <si>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</si>
  <si>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</si>
  <si>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</si>
  <si>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</si>
  <si>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</si>
  <si>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</si>
  <si>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</si>
  <si>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</si>
  <si>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</si>
  <si>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</si>
  <si>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</si>
  <si>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</si>
  <si>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</si>
  <si>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</si>
  <si>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</si>
  <si>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</si>
  <si>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</si>
  <si>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</si>
  <si>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</si>
  <si>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</si>
  <si>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</si>
  <si>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</si>
  <si>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</si>
  <si>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</si>
  <si>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</si>
  <si>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</si>
  <si>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</si>
  <si>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</si>
  <si>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</si>
  <si>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</si>
  <si>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</si>
  <si>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</si>
  <si>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</si>
  <si>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</si>
  <si>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</si>
  <si>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</si>
  <si>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</si>
  <si>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</si>
  <si>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</si>
  <si>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</si>
  <si>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</si>
  <si>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</si>
  <si>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</si>
  <si>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</si>
  <si>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</si>
  <si>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</si>
  <si>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</si>
  <si>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</si>
  <si>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</si>
  <si>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</si>
  <si>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</si>
  <si>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</si>
  <si>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</si>
  <si>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</si>
  <si>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</si>
  <si>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</si>
  <si>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</si>
  <si>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</si>
  <si>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</si>
  <si>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</si>
  <si>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</si>
  <si>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</si>
  <si>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</si>
  <si>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</si>
  <si>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</si>
  <si>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</si>
  <si>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</si>
  <si>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</si>
  <si>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</si>
  <si>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</si>
  <si>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</si>
  <si>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</si>
  <si>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</si>
  <si>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</si>
  <si>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</si>
  <si>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</si>
  <si>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</si>
  <si>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</si>
  <si>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</si>
  <si>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</si>
  <si>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</si>
  <si>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</si>
  <si>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</si>
  <si>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</si>
  <si>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</si>
  <si>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</si>
  <si>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</si>
  <si>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</si>
  <si>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</si>
  <si>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</si>
  <si>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</si>
  <si>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</si>
  <si>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</si>
  <si>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</si>
  <si>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</si>
  <si>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</si>
  <si>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</si>
  <si>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</si>
  <si>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</si>
  <si>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</si>
  <si>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</si>
  <si>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</si>
  <si>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</si>
  <si>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</si>
  <si>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</si>
  <si>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</si>
  <si>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</si>
  <si>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</si>
  <si>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</si>
  <si>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</si>
  <si>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</si>
  <si>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</si>
  <si>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</si>
  <si>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</si>
  <si>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</si>
  <si>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</si>
  <si>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</si>
  <si>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</si>
  <si>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</si>
  <si>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</si>
  <si>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</si>
  <si>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</si>
  <si>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</si>
  <si>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</si>
  <si>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</si>
  <si>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</si>
  <si>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</si>
  <si>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</si>
  <si>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</si>
  <si>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</si>
  <si>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</si>
  <si>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</si>
  <si>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</si>
  <si>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</si>
  <si>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</si>
  <si>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</si>
  <si>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</si>
  <si>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</si>
  <si>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</si>
  <si>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</si>
  <si>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</si>
  <si>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</si>
  <si>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</si>
  <si>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</si>
  <si>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</si>
  <si>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</si>
  <si>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</si>
  <si>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</si>
  <si>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</si>
  <si>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</si>
  <si>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</si>
  <si>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</si>
  <si>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</si>
  <si>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</si>
  <si>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</si>
  <si>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</si>
  <si>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</si>
  <si>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</si>
  <si>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</si>
  <si>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</si>
  <si>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</si>
  <si>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</si>
  <si>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</si>
  <si>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</si>
  <si>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</si>
  <si>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</si>
  <si>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</si>
  <si>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</si>
  <si>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</si>
  <si>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</si>
  <si>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</si>
  <si>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</si>
  <si>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</si>
  <si>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</si>
  <si>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</si>
  <si>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</si>
  <si>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</si>
  <si>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</si>
  <si>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</si>
  <si>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</si>
  <si>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</si>
  <si>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</si>
  <si>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</si>
  <si>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</si>
  <si>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</si>
  <si>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</si>
  <si>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</si>
  <si>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</si>
  <si>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</si>
  <si>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</si>
  <si>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</si>
  <si>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</si>
  <si>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</si>
  <si>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</si>
  <si>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</si>
  <si>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</si>
  <si>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</si>
  <si>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</si>
  <si>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</si>
  <si>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</si>
  <si>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</si>
  <si>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</si>
  <si>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</si>
  <si>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</si>
  <si>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</si>
  <si>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</si>
  <si>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</si>
  <si>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</si>
  <si>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</si>
  <si>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</si>
  <si>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</si>
  <si>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</si>
  <si>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</si>
  <si>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</si>
  <si>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</si>
  <si>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</si>
  <si>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</si>
  <si>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</si>
  <si>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</si>
  <si>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</si>
  <si>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</si>
  <si>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</si>
  <si>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</si>
  <si>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</si>
  <si>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</si>
  <si>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</si>
  <si>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</si>
  <si>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</si>
  <si>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</si>
  <si>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</si>
  <si>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</si>
  <si>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</si>
  <si>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</si>
  <si>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</si>
  <si>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</si>
  <si>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</si>
  <si>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</si>
  <si>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</si>
  <si>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</si>
  <si>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</si>
  <si>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</si>
  <si>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</si>
  <si>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</si>
  <si>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</si>
  <si>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</si>
  <si>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</si>
  <si>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</si>
  <si>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</si>
  <si>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</si>
  <si>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</si>
  <si>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</si>
  <si>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</si>
  <si>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</si>
  <si>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</si>
  <si>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</si>
  <si>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</si>
  <si>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</si>
  <si>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</si>
  <si>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</si>
  <si>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</si>
  <si>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</si>
  <si>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</si>
  <si>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</si>
  <si>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</si>
  <si>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</si>
  <si>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</si>
  <si>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</si>
  <si>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</si>
  <si>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</si>
  <si>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</si>
  <si>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</si>
  <si>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</si>
  <si>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</si>
  <si>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</si>
  <si>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</si>
  <si>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</si>
  <si>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</si>
  <si>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</si>
  <si>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</si>
  <si>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</si>
  <si>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</si>
  <si>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</si>
  <si>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</si>
  <si>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</si>
  <si>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</si>
  <si>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</si>
  <si>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</si>
  <si>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</si>
  <si>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</si>
  <si>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</si>
  <si>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</si>
  <si>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</si>
  <si>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</si>
  <si>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</si>
  <si>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</si>
  <si>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</si>
  <si>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</si>
  <si>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</si>
  <si>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</si>
  <si>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</si>
  <si>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</si>
  <si>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</si>
  <si>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</si>
  <si>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</si>
  <si>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</si>
  <si>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</si>
  <si>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</si>
  <si>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</si>
  <si>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</si>
  <si>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</si>
  <si>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</si>
  <si>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</si>
  <si>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</si>
  <si>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</si>
  <si>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</si>
  <si>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</si>
  <si>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</si>
  <si>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</si>
  <si>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</si>
  <si>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</si>
  <si>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</si>
  <si>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</si>
  <si>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</si>
  <si>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</si>
  <si>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</si>
  <si>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</si>
  <si>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</si>
  <si>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</si>
  <si>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</si>
  <si>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</si>
  <si>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</si>
  <si>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</si>
  <si>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</si>
  <si>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</si>
  <si>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</si>
  <si>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</si>
  <si>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</si>
  <si>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</si>
  <si>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</si>
  <si>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</si>
  <si>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</si>
  <si>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</si>
  <si>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</si>
  <si>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</si>
  <si>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</si>
  <si>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</si>
  <si>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</si>
  <si>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</si>
  <si>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</si>
  <si>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</si>
  <si>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</si>
  <si>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</si>
  <si>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</si>
  <si>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</si>
  <si>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</si>
  <si>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</si>
  <si>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</si>
  <si>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</si>
  <si>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</si>
  <si>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</si>
  <si>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</si>
  <si>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</si>
  <si>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</si>
  <si>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</si>
  <si>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</si>
  <si>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</si>
  <si>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</si>
  <si>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</si>
  <si>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</si>
  <si>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</si>
  <si>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</si>
  <si>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</si>
  <si>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</si>
  <si>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</si>
  <si>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</si>
  <si>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</si>
  <si>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</si>
  <si>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</si>
  <si>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</si>
  <si>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</si>
  <si>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</si>
  <si>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</si>
  <si>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</si>
  <si>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</si>
  <si>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</si>
  <si>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</si>
  <si>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</si>
  <si>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</si>
  <si>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</si>
  <si>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</si>
  <si>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</si>
  <si>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</si>
  <si>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</si>
  <si>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</si>
  <si>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</si>
  <si>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</si>
  <si>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</si>
  <si>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</si>
  <si>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</si>
  <si>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</si>
  <si>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</si>
  <si>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</si>
  <si>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</si>
  <si>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</si>
  <si>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</si>
  <si>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</si>
  <si>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</si>
  <si>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</si>
  <si>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</si>
  <si>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</si>
  <si>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</si>
  <si>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</si>
  <si>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</si>
  <si>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</si>
  <si>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</si>
  <si>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</si>
  <si>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</si>
  <si>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</si>
  <si>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</si>
  <si>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</si>
  <si>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</si>
  <si>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</si>
  <si>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</si>
  <si>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</si>
  <si>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</si>
  <si>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</si>
  <si>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</si>
  <si>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</si>
  <si>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</si>
  <si>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</si>
  <si>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</si>
  <si>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</si>
  <si>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</si>
  <si>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</si>
  <si>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</si>
  <si>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</si>
  <si>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</si>
  <si>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</si>
  <si>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</si>
  <si>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</si>
  <si>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</si>
  <si>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</si>
  <si>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</si>
  <si>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</si>
  <si>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</si>
  <si>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</si>
  <si>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</si>
  <si>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</si>
  <si>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</si>
  <si>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</si>
  <si>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</si>
  <si>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</si>
  <si>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</si>
  <si>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</si>
  <si>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</si>
  <si>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</si>
  <si>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</si>
  <si>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</si>
  <si>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</si>
  <si>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</si>
  <si>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</si>
  <si>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</si>
  <si>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</si>
  <si>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</si>
  <si>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</si>
  <si>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</si>
  <si>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</si>
  <si>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</si>
  <si>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</si>
  <si>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</si>
  <si>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</si>
  <si>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</si>
  <si>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</si>
  <si>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</si>
  <si>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</si>
  <si>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</si>
  <si>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</si>
  <si>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</si>
  <si>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</si>
  <si>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</si>
  <si>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</si>
  <si>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</si>
  <si>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</si>
  <si>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</si>
  <si>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</si>
  <si>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</si>
  <si>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</si>
  <si>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</si>
  <si>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</si>
  <si>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</si>
  <si>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</si>
  <si>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</si>
  <si>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</si>
  <si>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</si>
  <si>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</si>
  <si>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</si>
  <si>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</si>
  <si>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</si>
  <si>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</si>
  <si>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</si>
  <si>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</si>
  <si>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</si>
  <si>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</si>
  <si>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</si>
  <si>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</si>
  <si>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</si>
  <si>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</si>
  <si>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</si>
  <si>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</si>
  <si>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</si>
  <si>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</si>
  <si>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</si>
  <si>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</si>
  <si>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</si>
  <si>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</si>
  <si>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</si>
  <si>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</si>
  <si>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</si>
  <si>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</si>
  <si>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</si>
  <si>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</si>
  <si>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</si>
  <si>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</si>
  <si>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</si>
  <si>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</si>
  <si>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</si>
  <si>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</si>
  <si>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</si>
  <si>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</si>
  <si>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</si>
  <si>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</si>
  <si>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</si>
  <si>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</si>
  <si>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</si>
  <si>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</si>
  <si>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</si>
  <si>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</si>
  <si>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</si>
  <si>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</si>
  <si>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</si>
  <si>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</si>
  <si>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</si>
  <si>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</si>
  <si>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</si>
  <si>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</si>
  <si>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</si>
  <si>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</si>
  <si>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</si>
  <si>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</si>
  <si>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</si>
  <si>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</si>
  <si>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</si>
  <si>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</si>
  <si>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</si>
  <si>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</si>
  <si>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</si>
  <si>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</si>
  <si>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</si>
  <si>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</si>
  <si>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</si>
  <si>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</si>
  <si>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</si>
  <si>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</si>
  <si>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</si>
  <si>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</si>
  <si>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</si>
  <si>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</si>
  <si>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</si>
  <si>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</si>
  <si>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</si>
  <si>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</si>
  <si>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</si>
  <si>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</si>
  <si>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</si>
  <si>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</si>
  <si>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</si>
  <si>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</si>
  <si>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</si>
  <si>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</si>
  <si>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</si>
  <si>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</si>
  <si>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</si>
  <si>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</si>
  <si>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</si>
  <si>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</si>
  <si>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</si>
  <si>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</si>
  <si>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</si>
  <si>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</si>
  <si>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</si>
  <si>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</si>
  <si>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</si>
  <si>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</si>
  <si>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</si>
  <si>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</si>
  <si>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</si>
  <si>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</si>
  <si>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</si>
  <si>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</si>
  <si>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</si>
  <si>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</si>
  <si>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</si>
  <si>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</si>
  <si>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</si>
  <si>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</si>
  <si>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</si>
  <si>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</si>
  <si>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</si>
  <si>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</si>
  <si>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</si>
  <si>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</si>
  <si>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</si>
  <si>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</si>
  <si>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</si>
  <si>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</si>
  <si>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</si>
  <si>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</si>
  <si>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</si>
  <si>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</si>
  <si>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</si>
  <si>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</si>
  <si>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</si>
  <si>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</si>
  <si>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</si>
  <si>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</si>
  <si>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</si>
  <si>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</si>
  <si>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</si>
  <si>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</si>
  <si>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</si>
  <si>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</si>
  <si>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</si>
  <si>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</si>
  <si>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</si>
  <si>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</si>
  <si>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</si>
  <si>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</si>
  <si>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</si>
  <si>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</si>
  <si>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</si>
  <si>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</si>
  <si>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</si>
  <si>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</si>
  <si>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</si>
  <si>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</si>
  <si>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</si>
  <si>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</si>
  <si>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</si>
  <si>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</si>
  <si>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</si>
  <si>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</si>
  <si>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</si>
  <si>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</si>
  <si>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</si>
  <si>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</si>
  <si>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</si>
  <si>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</si>
  <si>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</si>
  <si>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</si>
  <si>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</si>
  <si>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</si>
  <si>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</si>
  <si>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</si>
  <si>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</si>
  <si>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</si>
  <si>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</si>
  <si>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</si>
  <si>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</si>
  <si>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</si>
  <si>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</si>
  <si>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</si>
  <si>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</si>
  <si>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</si>
  <si>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</si>
  <si>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</si>
  <si>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</si>
  <si>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</si>
  <si>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</si>
  <si>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</si>
  <si>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</si>
  <si>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</si>
  <si>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</si>
  <si>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</si>
  <si>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</si>
  <si>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</si>
  <si>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</si>
  <si>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</si>
  <si>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</si>
  <si>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</si>
  <si>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</si>
  <si>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</si>
  <si>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</si>
  <si>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</si>
  <si>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</si>
  <si>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</si>
  <si>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</si>
  <si>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</si>
  <si>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</si>
  <si>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</si>
  <si>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</si>
  <si>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</si>
  <si>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</si>
  <si>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</si>
  <si>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</si>
  <si>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</si>
  <si>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</si>
  <si>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</si>
  <si>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</si>
  <si>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</si>
  <si>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</si>
  <si>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</si>
  <si>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</si>
  <si>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</si>
  <si>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</si>
  <si>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</si>
  <si>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</si>
  <si>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</si>
  <si>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</si>
  <si>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</si>
  <si>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</si>
  <si>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</si>
  <si>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</si>
  <si>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</si>
  <si>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</si>
  <si>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</si>
  <si>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</si>
  <si>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</si>
  <si>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</si>
  <si>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</si>
  <si>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</si>
  <si>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</si>
  <si>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</si>
  <si>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</si>
  <si>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</si>
  <si>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</si>
  <si>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</si>
  <si>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</si>
  <si>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</si>
  <si>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</si>
  <si>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</si>
  <si>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</si>
  <si>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</si>
  <si>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</si>
  <si>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</si>
  <si>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</si>
  <si>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</si>
  <si>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</si>
  <si>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</si>
  <si>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</si>
  <si>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</si>
  <si>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</si>
  <si>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</si>
  <si>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</si>
  <si>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</si>
  <si>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</si>
  <si>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</si>
  <si>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</si>
  <si>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</si>
  <si>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</si>
  <si>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</si>
  <si>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</si>
  <si>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</si>
  <si>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</si>
  <si>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</si>
  <si>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</si>
  <si>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</si>
  <si>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</si>
  <si>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</si>
  <si>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</si>
  <si>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</si>
  <si>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</si>
  <si>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</si>
  <si>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</si>
  <si>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</si>
  <si>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</si>
  <si>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</si>
  <si>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</si>
  <si>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</si>
  <si>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</si>
  <si>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</si>
  <si>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</si>
  <si>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</si>
  <si>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</si>
  <si>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</si>
  <si>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</si>
  <si>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</si>
  <si>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</si>
  <si>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</si>
  <si>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</si>
  <si>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</si>
  <si>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</si>
  <si>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</si>
  <si>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</si>
  <si>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</si>
  <si>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</si>
  <si>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</si>
  <si>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</si>
  <si>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</si>
  <si>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</si>
  <si>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</si>
  <si>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</si>
  <si>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</si>
  <si>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</si>
  <si>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</si>
  <si>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</si>
  <si>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</si>
  <si>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</si>
  <si>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</si>
  <si>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</si>
  <si>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</si>
  <si>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</si>
  <si>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</si>
  <si>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</si>
  <si>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</si>
  <si>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</si>
  <si>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</si>
  <si>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</si>
  <si>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</si>
  <si>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</si>
  <si>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</si>
  <si>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</si>
  <si>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</si>
  <si>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</si>
  <si>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</si>
  <si>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</si>
  <si>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</si>
  <si>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</si>
  <si>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</si>
  <si>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</si>
  <si>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</si>
  <si>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</si>
  <si>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</si>
  <si>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</si>
  <si>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</si>
  <si>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</si>
  <si>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</si>
  <si>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</si>
  <si>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</si>
  <si>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</si>
  <si>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</si>
  <si>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</si>
  <si>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</si>
  <si>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</si>
  <si>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</si>
  <si>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</si>
  <si>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</si>
  <si>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</si>
  <si>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</si>
  <si>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</si>
  <si>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</si>
  <si>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</si>
  <si>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</si>
  <si>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</si>
  <si>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</si>
  <si>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</si>
  <si>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</si>
  <si>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</si>
  <si>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</si>
  <si>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</si>
  <si>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</si>
  <si>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</si>
  <si>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</si>
  <si>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</si>
  <si>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</si>
  <si>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</si>
  <si>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</si>
  <si>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</si>
  <si>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</si>
  <si>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</si>
  <si>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</si>
  <si>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</si>
  <si>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</si>
  <si>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</si>
  <si>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</si>
  <si>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</si>
  <si>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</si>
  <si>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</si>
  <si>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</si>
  <si>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</si>
  <si>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</si>
  <si>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</si>
  <si>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</si>
  <si>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</si>
  <si>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</si>
  <si>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</si>
  <si>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</si>
  <si>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</si>
  <si>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</si>
  <si>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</si>
  <si>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</si>
  <si>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</si>
  <si>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</si>
  <si>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</si>
  <si>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</si>
  <si>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</si>
  <si>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</si>
  <si>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</si>
  <si>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</si>
  <si>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</si>
  <si>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</si>
  <si>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</si>
  <si>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</si>
  <si>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</si>
  <si>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</si>
  <si>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</si>
  <si>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</si>
  <si>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</si>
  <si>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</si>
  <si>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</si>
  <si>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</si>
  <si>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</si>
  <si>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</si>
  <si>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</si>
  <si>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</si>
  <si>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</si>
  <si>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</si>
  <si>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</si>
  <si>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</si>
  <si>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</si>
  <si>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</si>
  <si>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</si>
  <si>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</si>
  <si>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</si>
  <si>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</si>
  <si>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</si>
  <si>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</si>
  <si>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</si>
  <si>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</si>
  <si>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</si>
  <si>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</si>
  <si>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</si>
  <si>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</si>
  <si>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</si>
  <si>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</si>
  <si>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</si>
  <si>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</si>
  <si>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</si>
  <si>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</si>
  <si>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</si>
  <si>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</si>
  <si>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</si>
  <si>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</si>
  <si>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</si>
  <si>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</si>
  <si>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</si>
  <si>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</si>
  <si>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</si>
  <si>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</si>
  <si>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</si>
  <si>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</si>
  <si>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</si>
  <si>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</si>
  <si>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</si>
  <si>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</si>
  <si>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</si>
  <si>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</si>
  <si>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</si>
  <si>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</si>
  <si>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</si>
  <si>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</si>
  <si>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</si>
  <si>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</si>
  <si>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</si>
  <si>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</si>
  <si>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</si>
  <si>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</si>
  <si>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</si>
  <si>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</si>
  <si>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</si>
  <si>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</si>
  <si>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</si>
  <si>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</si>
  <si>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</si>
  <si>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</si>
  <si>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</si>
  <si>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</si>
  <si>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</si>
  <si>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</si>
  <si>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</si>
  <si>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</si>
  <si>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</si>
  <si>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</si>
  <si>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</si>
  <si>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</si>
  <si>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</si>
  <si>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</si>
  <si>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</si>
  <si>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</si>
  <si>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</si>
  <si>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</si>
  <si>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</si>
  <si>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</si>
  <si>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</si>
  <si>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</si>
  <si>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</si>
  <si>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</si>
  <si>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</si>
  <si>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</si>
  <si>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</si>
  <si>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</si>
  <si>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</si>
  <si>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</si>
  <si>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</si>
  <si>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</si>
  <si>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</si>
  <si>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</si>
  <si>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</si>
  <si>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</si>
  <si>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</si>
  <si>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</si>
  <si>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</si>
  <si>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</si>
  <si>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</si>
  <si>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</si>
  <si>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</si>
  <si>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</si>
  <si>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</si>
  <si>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</si>
  <si>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</si>
  <si>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</si>
  <si>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</si>
  <si>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</si>
  <si>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</si>
  <si>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</si>
  <si>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</si>
  <si>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</si>
  <si>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</si>
  <si>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</si>
  <si>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</si>
  <si>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</si>
  <si>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</si>
  <si>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</si>
  <si>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</si>
  <si>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</si>
  <si>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</si>
  <si>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</si>
  <si>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</si>
  <si>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</si>
  <si>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</si>
  <si>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</si>
  <si>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</si>
  <si>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</si>
  <si>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</si>
  <si>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</si>
  <si>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</si>
  <si>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</si>
  <si>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</si>
  <si>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</si>
  <si>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</si>
  <si>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</si>
  <si>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</si>
  <si>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</si>
  <si>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</si>
  <si>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</si>
  <si>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</si>
  <si>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</si>
  <si>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</si>
  <si>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</si>
  <si>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</si>
  <si>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</si>
  <si>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</si>
  <si>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</si>
  <si>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</si>
  <si>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</si>
  <si>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</si>
  <si>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</si>
  <si>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</si>
  <si>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</si>
  <si>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</si>
  <si>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</si>
  <si>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</si>
  <si>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</si>
  <si>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</si>
  <si>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</si>
  <si>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</si>
  <si>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</si>
  <si>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</si>
  <si>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</si>
  <si>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</si>
  <si>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</si>
  <si>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</si>
  <si>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</si>
  <si>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</si>
  <si>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</si>
  <si>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</si>
  <si>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</si>
  <si>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</si>
  <si>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</si>
  <si>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</si>
  <si>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</si>
  <si>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</si>
  <si>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</si>
  <si>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</si>
  <si>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</si>
  <si>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</si>
  <si>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</si>
  <si>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</si>
  <si>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</si>
  <si>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</si>
  <si>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</si>
  <si>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</si>
  <si>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</si>
  <si>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</si>
  <si>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</si>
  <si>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</si>
  <si>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</si>
  <si>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</si>
  <si>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</si>
  <si>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</si>
  <si>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</si>
  <si>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</si>
  <si>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</si>
  <si>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</si>
  <si>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</si>
  <si>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</si>
  <si>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</si>
  <si>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</si>
  <si>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</si>
  <si>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</si>
  <si>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</si>
  <si>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</si>
  <si>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</si>
  <si>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</si>
  <si>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</si>
  <si>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</si>
  <si>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</si>
  <si>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</si>
  <si>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</si>
  <si>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</si>
  <si>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</si>
  <si>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</si>
  <si>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</si>
  <si>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</si>
  <si>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</si>
  <si>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</si>
  <si>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</si>
  <si>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</si>
  <si>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</si>
  <si>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</si>
  <si>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</si>
  <si>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</si>
  <si>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</si>
  <si>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</si>
  <si>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</si>
  <si>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</si>
  <si>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</si>
  <si>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</si>
  <si>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</si>
  <si>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</si>
  <si>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</si>
  <si>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</si>
  <si>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</si>
  <si>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</si>
  <si>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</si>
  <si>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</si>
  <si>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</si>
  <si>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</si>
  <si>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</si>
  <si>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</si>
  <si>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</si>
  <si>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</si>
  <si>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</si>
  <si>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</si>
  <si>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</si>
  <si>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</si>
  <si>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</si>
  <si>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</si>
  <si>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</si>
  <si>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</si>
  <si>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</si>
  <si>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</si>
  <si>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</si>
  <si>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</si>
  <si>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</si>
  <si>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</si>
  <si>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</si>
  <si>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</si>
  <si>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</si>
  <si>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</si>
  <si>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</si>
  <si>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</si>
  <si>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</si>
  <si>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</si>
  <si>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</si>
  <si>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</si>
  <si>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</si>
  <si>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</si>
  <si>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</si>
  <si>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</si>
  <si>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</si>
  <si>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</si>
  <si>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</si>
  <si>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</si>
  <si>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</si>
  <si>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</si>
  <si>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</si>
  <si>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</si>
  <si>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</si>
  <si>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</si>
  <si>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</si>
  <si>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</si>
  <si>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</si>
  <si>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</si>
  <si>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</si>
  <si>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</si>
  <si>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</si>
  <si>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</si>
  <si>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</si>
  <si>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</si>
  <si>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</si>
  <si>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</si>
  <si>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</si>
  <si>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</si>
  <si>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</si>
  <si>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</si>
  <si>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</si>
  <si>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</si>
  <si>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</si>
  <si>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</si>
  <si>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</si>
  <si>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</si>
  <si>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</si>
  <si>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</si>
  <si>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</si>
  <si>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</si>
  <si>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</si>
  <si>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</si>
  <si>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</si>
  <si>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</si>
  <si>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</si>
  <si>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</si>
  <si>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</si>
  <si>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</si>
  <si>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</si>
  <si>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</si>
  <si>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</si>
  <si>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</si>
  <si>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</si>
  <si>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</si>
  <si>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</si>
  <si>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</si>
  <si>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</si>
  <si>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</si>
  <si>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</si>
  <si>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</si>
  <si>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</si>
  <si>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</si>
  <si>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</si>
  <si>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</si>
  <si>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</si>
  <si>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</si>
  <si>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</si>
  <si>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</si>
  <si>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</si>
  <si>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</si>
  <si>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</si>
  <si>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</si>
  <si>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</si>
  <si>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</si>
  <si>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</si>
  <si>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</si>
  <si>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</si>
  <si>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</si>
  <si>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</si>
  <si>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</si>
  <si>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</si>
  <si>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</si>
  <si>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</si>
  <si>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</si>
  <si>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</si>
  <si>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</si>
  <si>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</si>
  <si>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</si>
  <si>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</si>
  <si>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</si>
  <si>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</si>
  <si>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</si>
  <si>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</si>
  <si>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</si>
  <si>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</si>
  <si>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</si>
  <si>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</si>
  <si>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</si>
  <si>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</si>
  <si>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</si>
  <si>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</si>
  <si>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</si>
  <si>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</si>
  <si>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</si>
  <si>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</si>
  <si>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</si>
  <si>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</si>
  <si>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</si>
  <si>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</si>
  <si>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</si>
  <si>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</si>
  <si>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</si>
  <si>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</si>
  <si>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</si>
  <si>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</si>
  <si>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</si>
  <si>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</si>
  <si>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</si>
  <si>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</si>
  <si>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</si>
  <si>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</si>
  <si>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</si>
  <si>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</si>
  <si>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</si>
  <si>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</si>
  <si>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</si>
  <si>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</si>
  <si>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</si>
  <si>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</si>
  <si>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</si>
  <si>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</si>
  <si>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</si>
  <si>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</si>
  <si>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</si>
  <si>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</si>
  <si>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</si>
  <si>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</si>
  <si>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</si>
  <si>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</si>
  <si>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</si>
  <si>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</si>
  <si>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</si>
  <si>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</si>
  <si>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</si>
  <si>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</si>
  <si>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</si>
  <si>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</si>
  <si>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</si>
  <si>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</si>
  <si>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</si>
  <si>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</si>
  <si>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</si>
  <si>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</si>
  <si>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</si>
  <si>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</si>
  <si>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</si>
  <si>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</si>
  <si>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</si>
  <si>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</si>
  <si>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</si>
  <si>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</si>
  <si>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</si>
  <si>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</si>
  <si>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</si>
  <si>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</si>
  <si>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</si>
  <si>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</si>
  <si>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</si>
  <si>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</si>
  <si>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</si>
  <si>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</si>
  <si>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</si>
  <si>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</si>
  <si>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</si>
  <si>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</si>
  <si>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</si>
  <si>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</si>
  <si>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</si>
  <si>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</si>
  <si>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</si>
  <si>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</si>
  <si>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</si>
  <si>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</si>
  <si>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</si>
  <si>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</si>
  <si>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</si>
  <si>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</si>
  <si>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</si>
  <si>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</si>
  <si>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</si>
  <si>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</si>
  <si>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</si>
  <si>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</si>
  <si>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</si>
  <si>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</si>
  <si>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</si>
  <si>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</si>
  <si>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</si>
  <si>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</si>
  <si>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</si>
  <si>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</si>
  <si>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</si>
  <si>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</si>
  <si>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</si>
  <si>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</si>
  <si>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</si>
  <si>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</si>
  <si>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</si>
  <si>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</si>
  <si>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</si>
  <si>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</si>
  <si>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</si>
  <si>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</si>
  <si>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</si>
  <si>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</si>
  <si>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</si>
  <si>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</si>
  <si>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</si>
  <si>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</si>
  <si>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</si>
  <si>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</si>
  <si>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</si>
  <si>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</si>
  <si>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</si>
  <si>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</si>
  <si>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</si>
  <si>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</si>
  <si>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</si>
  <si>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</si>
  <si>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</si>
  <si>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</si>
  <si>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</si>
  <si>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</si>
  <si>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</si>
  <si>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</si>
  <si>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</si>
  <si>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</si>
  <si>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</si>
  <si>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</si>
  <si>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</si>
  <si>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</si>
  <si>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</si>
  <si>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</si>
  <si>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</si>
  <si>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</si>
  <si>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</si>
  <si>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</si>
  <si>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</si>
  <si>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</si>
  <si>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</si>
  <si>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</si>
  <si>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</si>
  <si>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</si>
  <si>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</si>
  <si>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</si>
  <si>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</si>
  <si>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</si>
  <si>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</si>
  <si>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</si>
  <si>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</si>
  <si>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</si>
  <si>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</si>
  <si>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</si>
  <si>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</si>
  <si>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</si>
  <si>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</si>
  <si>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</si>
  <si>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</si>
  <si>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</si>
  <si>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</si>
  <si>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</si>
  <si>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</si>
  <si>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</si>
  <si>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</si>
  <si>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</si>
  <si>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</si>
  <si>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</si>
  <si>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</si>
  <si>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</si>
  <si>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</si>
  <si>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</si>
  <si>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</si>
  <si>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</si>
  <si>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</si>
  <si>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</si>
  <si>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</si>
  <si>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</si>
  <si>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</si>
  <si>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</si>
  <si>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</si>
  <si>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</si>
  <si>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</si>
  <si>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</si>
  <si>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</si>
  <si>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</si>
  <si>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</si>
  <si>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</si>
  <si>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</si>
  <si>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</si>
  <si>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</si>
  <si>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</si>
  <si>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</si>
  <si>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</si>
  <si>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</si>
  <si>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</si>
  <si>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</si>
  <si>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</si>
  <si>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</si>
  <si>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</si>
  <si>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</si>
  <si>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</si>
  <si>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</si>
  <si>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</si>
  <si>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</si>
  <si>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</si>
  <si>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</si>
  <si>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</si>
  <si>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</si>
  <si>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</si>
  <si>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</si>
  <si>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</si>
  <si>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</si>
  <si>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</si>
  <si>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</si>
  <si>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</si>
  <si>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</si>
  <si>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</si>
  <si>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</si>
  <si>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</si>
  <si>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</si>
  <si>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</si>
  <si>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</si>
  <si>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</si>
  <si>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</si>
  <si>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</si>
  <si>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</si>
  <si>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</si>
  <si>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</si>
  <si>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</si>
  <si>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</si>
  <si>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</si>
  <si>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</si>
  <si>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</si>
  <si>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</si>
  <si>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</si>
  <si>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</si>
  <si>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</si>
  <si>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</si>
  <si>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</si>
  <si>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</si>
  <si>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</si>
  <si>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</si>
  <si>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</si>
  <si>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</si>
  <si>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</si>
  <si>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</si>
  <si>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</si>
  <si>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</si>
  <si>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</si>
  <si>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</si>
  <si>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</si>
  <si>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</si>
  <si>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</si>
  <si>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</si>
  <si>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</si>
  <si>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</si>
  <si>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</si>
  <si>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</si>
  <si>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</si>
  <si>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</si>
  <si>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</si>
  <si>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</si>
  <si>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</si>
  <si>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</si>
  <si>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</si>
  <si>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</si>
  <si>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</si>
  <si>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</si>
  <si>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</si>
  <si>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</si>
  <si>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</si>
  <si>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</si>
  <si>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</si>
  <si>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</si>
  <si>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</si>
  <si>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</si>
  <si>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</si>
  <si>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</si>
  <si>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</si>
  <si>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</si>
  <si>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</si>
  <si>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</si>
  <si>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</si>
  <si>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</si>
  <si>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</si>
  <si>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</si>
  <si>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</si>
  <si>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</si>
  <si>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</si>
  <si>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</si>
  <si>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</si>
  <si>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</si>
  <si>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</si>
  <si>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</si>
  <si>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</si>
  <si>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</si>
  <si>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</si>
  <si>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</si>
  <si>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</si>
  <si>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</si>
  <si>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</si>
  <si>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</si>
  <si>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</si>
  <si>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</si>
  <si>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</si>
  <si>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</si>
  <si>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</si>
  <si>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</si>
  <si>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</si>
  <si>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</si>
  <si>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</si>
  <si>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</si>
  <si>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</si>
  <si>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</si>
  <si>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</si>
  <si>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</si>
  <si>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</si>
  <si>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</si>
  <si>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</si>
  <si>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</si>
  <si>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</si>
  <si>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</si>
  <si>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</si>
  <si>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</si>
  <si>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</si>
  <si>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</si>
  <si>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</si>
  <si>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</si>
  <si>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</si>
  <si>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</si>
  <si>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</si>
  <si>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</si>
  <si>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</si>
  <si>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</si>
  <si>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</si>
  <si>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</si>
  <si>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</si>
  <si>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</si>
  <si>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</si>
  <si>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</si>
  <si>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</si>
  <si>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</si>
  <si>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</si>
  <si>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</si>
  <si>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</si>
  <si>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</si>
  <si>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</si>
  <si>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</si>
  <si>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</si>
  <si>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</si>
  <si>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</si>
  <si>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</si>
  <si>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</si>
  <si>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</si>
  <si>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</si>
  <si>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</si>
  <si>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</si>
  <si>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</si>
  <si>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</si>
  <si>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</si>
  <si>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</si>
  <si>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</si>
  <si>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</si>
  <si>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</si>
  <si>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</si>
  <si>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</si>
  <si>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</si>
  <si>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</si>
  <si>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</si>
  <si>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</si>
  <si>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</si>
  <si>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</si>
  <si>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</si>
  <si>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</si>
  <si>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</si>
  <si>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</si>
  <si>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</si>
  <si>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</si>
  <si>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</si>
  <si>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</si>
  <si>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</si>
  <si>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</si>
  <si>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</si>
  <si>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</si>
  <si>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</si>
  <si>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</si>
  <si>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</si>
  <si>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</si>
  <si>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</si>
  <si>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</si>
  <si>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</si>
  <si>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</si>
  <si>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</si>
  <si>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</si>
  <si>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</si>
  <si>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</si>
  <si>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</si>
  <si>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</si>
  <si>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</si>
  <si>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</si>
  <si>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</si>
  <si>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</si>
  <si>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</si>
  <si>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</si>
  <si>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</si>
  <si>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</si>
  <si>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</si>
  <si>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</si>
  <si>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</si>
  <si>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</si>
  <si>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</si>
  <si>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</si>
  <si>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</si>
  <si>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</si>
  <si>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</si>
  <si>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</si>
  <si>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</si>
  <si>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</si>
  <si>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</si>
  <si>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</si>
  <si>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</si>
  <si>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</si>
  <si>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</si>
  <si>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</si>
  <si>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</si>
  <si>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</si>
  <si>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</si>
  <si>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</si>
  <si>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</si>
  <si>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</si>
  <si>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</si>
  <si>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</si>
  <si>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</si>
  <si>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</si>
  <si>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</si>
  <si>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</si>
  <si>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</si>
  <si>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</si>
  <si>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</si>
  <si>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</si>
  <si>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</si>
  <si>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</si>
  <si>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</si>
  <si>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</si>
  <si>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</si>
  <si>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</si>
  <si>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</si>
  <si>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</si>
  <si>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</si>
  <si>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</si>
  <si>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</si>
  <si>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</si>
  <si>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</si>
  <si>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</si>
  <si>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</si>
  <si>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</si>
  <si>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</si>
  <si>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</si>
  <si>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</si>
  <si>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</si>
  <si>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</si>
  <si>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</si>
  <si>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</si>
  <si>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</si>
  <si>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</si>
  <si>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</si>
  <si>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</si>
  <si>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</si>
  <si>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</si>
  <si>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</si>
  <si>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</si>
  <si>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</si>
  <si>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</si>
  <si>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</si>
  <si>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</si>
  <si>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</si>
  <si>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</si>
  <si>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</si>
  <si>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</si>
  <si>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</si>
  <si>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</si>
  <si>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</si>
  <si>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</si>
  <si>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</si>
  <si>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</si>
  <si>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</si>
  <si>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</si>
  <si>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</si>
  <si>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</si>
  <si>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</si>
  <si>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</si>
  <si>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</si>
  <si>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</si>
  <si>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</si>
  <si>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</si>
  <si>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</si>
  <si>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</si>
  <si>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</si>
  <si>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</si>
  <si>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</si>
  <si>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</si>
  <si>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</si>
  <si>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</si>
  <si>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</si>
  <si>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</si>
  <si>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</si>
  <si>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</si>
  <si>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</si>
  <si>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</si>
  <si>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</si>
  <si>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</si>
  <si>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</si>
  <si>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</si>
  <si>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</si>
  <si>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</si>
  <si>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</si>
  <si>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</si>
  <si>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</si>
  <si>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</si>
  <si>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</si>
  <si>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</si>
  <si>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</si>
  <si>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</si>
  <si>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</si>
  <si>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</si>
  <si>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</si>
  <si>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</si>
  <si>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</si>
  <si>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</si>
  <si>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</si>
  <si>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</si>
  <si>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</si>
  <si>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</si>
  <si>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</si>
  <si>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</si>
  <si>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</si>
  <si>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</si>
  <si>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</si>
  <si>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</si>
  <si>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</si>
  <si>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</si>
  <si>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</si>
  <si>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</si>
  <si>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</si>
  <si>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</si>
  <si>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</si>
  <si>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</si>
  <si>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</si>
  <si>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</si>
  <si>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</si>
  <si>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</si>
  <si>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</si>
  <si>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</si>
  <si>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</si>
  <si>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</si>
  <si>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</si>
  <si>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</si>
  <si>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</si>
  <si>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</si>
  <si>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</si>
  <si>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</si>
  <si>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</si>
  <si>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</si>
  <si>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</si>
  <si>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</si>
  <si>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</si>
  <si>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</si>
  <si>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</si>
  <si>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</si>
  <si>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</si>
  <si>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</si>
  <si>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</si>
  <si>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</si>
  <si>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</si>
  <si>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</si>
  <si>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</si>
  <si>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</si>
  <si>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</si>
  <si>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</si>
  <si>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</si>
  <si>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</si>
  <si>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</si>
  <si>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</si>
  <si>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</si>
  <si>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</si>
  <si>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</si>
  <si>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</si>
  <si>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</si>
  <si>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</si>
  <si>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</si>
  <si>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</si>
  <si>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</si>
  <si>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</si>
  <si>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</si>
  <si>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</si>
  <si>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</si>
  <si>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</si>
  <si>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</si>
  <si>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</si>
  <si>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</si>
  <si>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</si>
  <si>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</si>
  <si>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</si>
  <si>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</si>
  <si>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</si>
  <si>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</si>
  <si>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</si>
  <si>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</si>
  <si>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</si>
  <si>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</si>
  <si>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</si>
  <si>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</si>
  <si>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</si>
  <si>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</si>
  <si>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</si>
  <si>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</si>
  <si>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</si>
  <si>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</si>
  <si>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</si>
  <si>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</si>
  <si>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</si>
  <si>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</si>
  <si>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</si>
  <si>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</si>
  <si>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</si>
  <si>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</si>
  <si>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</si>
  <si>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</si>
  <si>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</si>
  <si>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</si>
  <si>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</si>
  <si>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</si>
  <si>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</si>
  <si>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</si>
  <si>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</si>
  <si>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</si>
  <si>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</si>
  <si>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</si>
  <si>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</si>
  <si>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</si>
  <si>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</si>
  <si>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</si>
  <si>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</si>
  <si>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</si>
  <si>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</si>
  <si>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</si>
  <si>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</si>
  <si>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</si>
  <si>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</si>
  <si>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</si>
  <si>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</si>
  <si>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</si>
  <si>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</si>
  <si>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</si>
  <si>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</si>
  <si>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</si>
  <si>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</si>
  <si>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</si>
  <si>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</si>
  <si>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</si>
  <si>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</si>
  <si>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</si>
  <si>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</si>
  <si>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</si>
  <si>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</si>
  <si>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</si>
  <si>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</si>
  <si>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</si>
  <si>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</si>
  <si>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</si>
  <si>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</si>
  <si>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</si>
  <si>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</si>
  <si>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</si>
  <si>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</si>
  <si>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</si>
  <si>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</si>
  <si>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</si>
  <si>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</si>
  <si>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</si>
  <si>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</si>
  <si>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</si>
  <si>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</si>
  <si>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</si>
  <si>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</si>
  <si>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</si>
  <si>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</si>
  <si>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</si>
  <si>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</si>
  <si>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</si>
  <si>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</si>
  <si>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</si>
  <si>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</si>
  <si>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</si>
  <si>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</si>
  <si>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</si>
  <si>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</si>
  <si>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</si>
  <si>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</si>
  <si>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</si>
  <si>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</si>
  <si>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</si>
  <si>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</si>
  <si>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</si>
  <si>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</si>
  <si>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</si>
  <si>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</si>
  <si>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</si>
  <si>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</si>
  <si>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</si>
  <si>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</si>
  <si>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</si>
  <si>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</si>
  <si>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</si>
  <si>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</si>
  <si>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</si>
  <si>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</si>
  <si>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</si>
  <si>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</si>
  <si>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</si>
  <si>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</si>
  <si>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</si>
  <si>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</si>
  <si>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</si>
  <si>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</si>
  <si>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</si>
  <si>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</si>
  <si>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</si>
  <si>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</si>
  <si>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</si>
  <si>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</si>
  <si>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</si>
  <si>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</si>
  <si>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</si>
  <si>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</si>
  <si>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</si>
  <si>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</si>
  <si>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</si>
  <si>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</si>
  <si>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</si>
  <si>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</si>
  <si>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</si>
  <si>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</si>
  <si>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</si>
  <si>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</si>
  <si>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</si>
  <si>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</si>
  <si>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</si>
  <si>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</si>
  <si>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</si>
  <si>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</si>
  <si>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</si>
  <si>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</si>
  <si>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</si>
  <si>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</si>
  <si>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</si>
  <si>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</si>
  <si>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</si>
  <si>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</si>
  <si>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</si>
  <si>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</si>
  <si>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</si>
  <si>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</si>
  <si>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</si>
  <si>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</si>
  <si>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</si>
  <si>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</si>
  <si>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</si>
  <si>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</si>
  <si>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</si>
  <si>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</si>
  <si>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</si>
  <si>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</si>
  <si>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</si>
  <si>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</si>
  <si>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</si>
  <si>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</si>
  <si>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</si>
  <si>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</si>
  <si>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</si>
  <si>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</si>
  <si>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</si>
  <si>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</si>
  <si>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</si>
  <si>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</si>
  <si>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</si>
  <si>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</si>
  <si>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</si>
  <si>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</si>
  <si>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</si>
  <si>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</si>
  <si>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</si>
  <si>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</si>
  <si>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</si>
  <si>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</si>
  <si>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</si>
  <si>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</si>
  <si>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</si>
  <si>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</si>
  <si>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</si>
  <si>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</si>
  <si>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</si>
  <si>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</si>
  <si>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</si>
  <si>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</si>
  <si>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</si>
  <si>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</si>
  <si>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</si>
  <si>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</si>
  <si>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</si>
  <si>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</si>
  <si>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</si>
  <si>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</si>
  <si>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</si>
  <si>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</si>
  <si>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</si>
  <si>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</si>
  <si>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</si>
  <si>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</si>
  <si>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</si>
  <si>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</si>
  <si>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</si>
  <si>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</si>
  <si>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</si>
  <si>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</si>
  <si>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</si>
  <si>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</si>
  <si>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</si>
  <si>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</si>
  <si>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</si>
  <si>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</si>
  <si>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</si>
  <si>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</si>
  <si>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</si>
  <si>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</si>
  <si>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</si>
  <si>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</si>
  <si>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</si>
  <si>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</si>
  <si>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</si>
  <si>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</si>
  <si>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</si>
  <si>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</si>
  <si>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</si>
  <si>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</si>
  <si>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</si>
  <si>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</si>
  <si>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</si>
  <si>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</si>
  <si>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</si>
  <si>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</si>
  <si>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</si>
  <si>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</si>
  <si>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</si>
  <si>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</si>
  <si>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</si>
  <si>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</si>
  <si>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</si>
  <si>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</si>
  <si>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</si>
  <si>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</si>
  <si>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</si>
  <si>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</si>
  <si>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</si>
  <si>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</si>
  <si>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</si>
  <si>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</si>
  <si>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</si>
  <si>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</si>
  <si>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</si>
  <si>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</si>
  <si>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</si>
  <si>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</si>
  <si>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</si>
  <si>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</si>
  <si>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</si>
  <si>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</si>
  <si>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</si>
  <si>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</si>
  <si>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</si>
  <si>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</si>
  <si>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</si>
  <si>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</si>
  <si>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</si>
  <si>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</si>
  <si>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</si>
  <si>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</si>
  <si>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</si>
  <si>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</si>
  <si>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</si>
  <si>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</si>
  <si>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</si>
  <si>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</si>
  <si>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</si>
  <si>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</si>
  <si>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</si>
  <si>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</si>
  <si>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</si>
  <si>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</si>
  <si>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</si>
  <si>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</si>
  <si>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</si>
  <si>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</si>
  <si>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</si>
  <si>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</si>
  <si>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</si>
  <si>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</si>
  <si>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</si>
  <si>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</si>
  <si>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</si>
  <si>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</si>
  <si>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</si>
  <si>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</si>
  <si>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</si>
  <si>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</si>
  <si>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</si>
  <si>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</si>
  <si>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</si>
  <si>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</si>
  <si>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</si>
  <si>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</si>
  <si>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</si>
  <si>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</si>
  <si>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</si>
  <si>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</si>
  <si>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</si>
  <si>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</si>
  <si>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</si>
  <si>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</si>
  <si>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</si>
  <si>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</si>
  <si>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</si>
  <si>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</si>
  <si>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</si>
  <si>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</si>
  <si>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</si>
  <si>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</si>
  <si>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</si>
  <si>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</si>
  <si>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</si>
  <si>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</si>
  <si>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</si>
  <si>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</si>
  <si>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</si>
  <si>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</si>
  <si>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</si>
  <si>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</si>
  <si>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</si>
  <si>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</si>
  <si>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</si>
  <si>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</si>
  <si>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</si>
  <si>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</si>
  <si>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</si>
  <si>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</si>
  <si>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</si>
  <si>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</si>
  <si>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</si>
  <si>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</si>
  <si>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</si>
  <si>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</si>
  <si>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</si>
  <si>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</si>
  <si>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</si>
  <si>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</si>
  <si>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</si>
  <si>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</si>
  <si>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</si>
  <si>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</si>
  <si>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</si>
  <si>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</si>
  <si>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</si>
  <si>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</si>
  <si>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</si>
  <si>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</si>
  <si>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</si>
  <si>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</si>
  <si>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</si>
  <si>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</si>
  <si>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</si>
  <si>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</si>
  <si>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</si>
  <si>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</si>
  <si>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</si>
  <si>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</si>
  <si>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</si>
  <si>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</si>
  <si>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</si>
  <si>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</si>
  <si>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</si>
  <si>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</si>
  <si>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</si>
  <si>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</si>
  <si>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</si>
  <si>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</si>
  <si>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</si>
  <si>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</si>
  <si>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</si>
  <si>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</si>
  <si>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</si>
  <si>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</si>
  <si>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</si>
  <si>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</si>
  <si>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</si>
  <si>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</si>
  <si>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</si>
  <si>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</si>
  <si>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</si>
  <si>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</si>
  <si>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</si>
  <si>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</si>
  <si>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</si>
  <si>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</si>
  <si>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</si>
  <si>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</si>
  <si>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</si>
  <si>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</si>
  <si>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</si>
  <si>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</si>
  <si>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</si>
  <si>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</si>
  <si>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</si>
  <si>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</si>
  <si>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</si>
  <si>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</si>
  <si>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</si>
  <si>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</si>
  <si>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</si>
  <si>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</si>
  <si>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</si>
  <si>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</si>
  <si>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</si>
  <si>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</si>
  <si>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</si>
  <si>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</si>
  <si>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</si>
  <si>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</si>
  <si>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</si>
  <si>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</si>
  <si>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</si>
  <si>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</si>
  <si>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</si>
  <si>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</si>
  <si>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</si>
  <si>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</si>
  <si>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</si>
  <si>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</si>
  <si>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</si>
  <si>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</si>
  <si>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</si>
  <si>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</si>
  <si>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</si>
  <si>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</si>
  <si>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</si>
  <si>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</si>
  <si>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</si>
  <si>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</si>
  <si>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</si>
  <si>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</si>
  <si>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</si>
  <si>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</si>
  <si>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</si>
  <si>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</si>
  <si>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</si>
  <si>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</si>
  <si>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</si>
  <si>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</si>
  <si>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</si>
  <si>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</si>
  <si>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</si>
  <si>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</si>
  <si>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</si>
  <si>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</si>
  <si>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</si>
  <si>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</si>
  <si>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</si>
  <si>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</si>
  <si>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</si>
  <si>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</si>
  <si>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</si>
  <si>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</si>
  <si>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</si>
  <si>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</si>
  <si>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</si>
  <si>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</si>
  <si>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</si>
  <si>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</si>
  <si>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</si>
  <si>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</si>
  <si>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</si>
  <si>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</si>
  <si>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</si>
  <si>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</si>
  <si>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</si>
  <si>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</si>
  <si>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</si>
  <si>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</si>
  <si>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</si>
  <si>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</si>
  <si>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</si>
  <si>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</si>
  <si>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</si>
  <si>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</si>
  <si>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</si>
  <si>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</si>
  <si>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</si>
  <si>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</si>
  <si>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</si>
  <si>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</si>
  <si>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</si>
  <si>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</si>
  <si>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</si>
  <si>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</si>
  <si>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</si>
  <si>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</si>
  <si>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</si>
  <si>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</si>
  <si>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</si>
  <si>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</si>
  <si>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</si>
  <si>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</si>
  <si>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</si>
  <si>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</si>
  <si>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</si>
  <si>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</si>
  <si>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</si>
  <si>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</si>
  <si>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</si>
  <si>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</si>
  <si>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</si>
  <si>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</si>
  <si>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</si>
  <si>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</si>
  <si>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</si>
  <si>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</si>
  <si>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</si>
  <si>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</si>
  <si>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</si>
  <si>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</si>
  <si>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</si>
  <si>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</si>
  <si>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</si>
  <si>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</si>
  <si>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</si>
  <si>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</si>
  <si>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</si>
  <si>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</si>
  <si>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</si>
  <si>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</si>
  <si>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</si>
  <si>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</si>
  <si>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</si>
  <si>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</si>
  <si>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</si>
  <si>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</si>
  <si>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</si>
  <si>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</si>
  <si>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</si>
  <si>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</si>
  <si>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</si>
  <si>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</si>
  <si>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</si>
  <si>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</si>
  <si>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</si>
  <si>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</si>
  <si>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</si>
  <si>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</si>
  <si>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</si>
  <si>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</si>
  <si>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</si>
  <si>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</si>
  <si>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</si>
  <si>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</si>
  <si>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</si>
  <si>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</si>
  <si>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</si>
  <si>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</si>
  <si>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</si>
  <si>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</si>
  <si>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</si>
  <si>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</si>
  <si>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</si>
  <si>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</si>
  <si>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</si>
  <si>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</si>
  <si>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</si>
  <si>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</si>
  <si>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</si>
  <si>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</si>
  <si>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</si>
  <si>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</si>
  <si>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</si>
  <si>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</si>
  <si>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</si>
  <si>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</si>
  <si>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</si>
  <si>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</si>
  <si>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</si>
  <si>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</si>
  <si>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</si>
  <si>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</si>
  <si>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</si>
  <si>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</si>
  <si>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</si>
  <si>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</si>
  <si>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</si>
  <si>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</si>
  <si>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</si>
  <si>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</si>
  <si>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</si>
  <si>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</si>
  <si>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</si>
  <si>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</si>
  <si>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</si>
  <si>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</si>
  <si>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</si>
  <si>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</si>
  <si>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</si>
  <si>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</si>
  <si>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</si>
  <si>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</si>
  <si>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</si>
  <si>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</si>
  <si>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</si>
  <si>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</si>
  <si>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</si>
  <si>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</si>
  <si>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</si>
  <si>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</si>
  <si>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</si>
  <si>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</si>
  <si>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</si>
  <si>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</si>
  <si>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</si>
  <si>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</si>
  <si>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</si>
  <si>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</si>
  <si>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</si>
  <si>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</si>
  <si>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</si>
  <si>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</si>
  <si>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</si>
  <si>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</si>
  <si>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</si>
  <si>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</si>
  <si>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</si>
  <si>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</si>
  <si>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</si>
  <si>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</si>
  <si>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</si>
  <si>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</si>
  <si>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</si>
  <si>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</si>
  <si>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</si>
  <si>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</si>
  <si>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</si>
  <si>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</si>
  <si>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</si>
  <si>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</si>
  <si>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</si>
  <si>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</si>
  <si>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</si>
  <si>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</si>
  <si>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</si>
  <si>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</si>
  <si>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</si>
  <si>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</si>
  <si>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</si>
  <si>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</si>
  <si>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</si>
  <si>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</si>
  <si>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</si>
  <si>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</si>
  <si>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</si>
  <si>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</si>
  <si>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</si>
  <si>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</si>
  <si>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</si>
  <si>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</si>
  <si>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</si>
  <si>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</si>
  <si>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</si>
  <si>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</si>
  <si>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</si>
  <si>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</si>
  <si>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</si>
  <si>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</si>
  <si>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</si>
  <si>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</si>
  <si>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</si>
  <si>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</si>
  <si>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</si>
  <si>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</si>
  <si>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</si>
  <si>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</si>
  <si>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</si>
  <si>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</si>
  <si>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</si>
  <si>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</si>
  <si>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</si>
  <si>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</si>
  <si>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</si>
  <si>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</si>
  <si>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</si>
  <si>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</si>
  <si>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</si>
  <si>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</si>
  <si>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</si>
  <si>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</si>
  <si>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</si>
  <si>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</si>
  <si>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</si>
  <si>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</si>
  <si>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</si>
  <si>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</si>
  <si>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</si>
  <si>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</si>
  <si>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</si>
  <si>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</si>
  <si>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</si>
  <si>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</si>
  <si>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</si>
  <si>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</si>
  <si>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</si>
  <si>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</si>
  <si>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</si>
  <si>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</si>
  <si>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</si>
  <si>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</si>
  <si>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</si>
  <si>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</si>
  <si>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</si>
  <si>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</si>
  <si>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</si>
  <si>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</si>
  <si>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</si>
  <si>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</si>
  <si>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</si>
  <si>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</si>
  <si>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</si>
  <si>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</si>
  <si>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</si>
  <si>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</si>
  <si>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</si>
  <si>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</si>
  <si>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</si>
  <si>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</si>
  <si>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</si>
  <si>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</si>
  <si>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</si>
  <si>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</si>
  <si>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</si>
  <si>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</si>
  <si>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</si>
  <si>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</si>
  <si>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</si>
  <si>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</si>
  <si>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</si>
  <si>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</si>
  <si>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</si>
  <si>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</si>
  <si>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</si>
  <si>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</si>
  <si>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</si>
  <si>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</si>
  <si>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</si>
  <si>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</si>
  <si>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</si>
  <si>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</si>
  <si>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</si>
  <si>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</si>
  <si>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</si>
  <si>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</si>
  <si>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</si>
  <si>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</si>
  <si>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</si>
  <si>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</si>
  <si>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</si>
  <si>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</si>
  <si>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</si>
  <si>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</si>
  <si>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</si>
  <si>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</si>
  <si>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</si>
  <si>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</si>
  <si>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</si>
  <si>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</si>
  <si>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</si>
  <si>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</si>
  <si>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</si>
  <si>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</si>
  <si>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</si>
  <si>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</si>
  <si>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</si>
  <si>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</si>
  <si>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</si>
  <si>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</si>
  <si>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</si>
  <si>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</si>
  <si>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</si>
  <si>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</si>
  <si>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</si>
  <si>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</si>
  <si>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</si>
  <si>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</si>
  <si>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</si>
  <si>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</si>
  <si>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</si>
  <si>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</si>
  <si>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</si>
  <si>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</si>
  <si>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</si>
  <si>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</si>
  <si>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</si>
  <si>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</si>
  <si>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</si>
  <si>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</si>
  <si>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</si>
  <si>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</si>
  <si>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</si>
  <si>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</si>
  <si>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</si>
  <si>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</si>
  <si>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</si>
  <si>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</si>
  <si>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</si>
  <si>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</si>
  <si>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</si>
  <si>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</si>
  <si>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</si>
  <si>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</si>
  <si>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</si>
  <si>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</si>
  <si>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</si>
  <si>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</si>
  <si>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</si>
  <si>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</si>
  <si>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</si>
  <si>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</si>
  <si>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</si>
  <si>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</si>
  <si>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</si>
  <si>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</si>
  <si>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</si>
  <si>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</si>
  <si>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</si>
  <si>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</si>
  <si>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</si>
  <si>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</si>
  <si>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</si>
  <si>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</si>
  <si>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</si>
  <si>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</si>
  <si>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</si>
  <si>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</si>
  <si>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</si>
  <si>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</si>
  <si>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</si>
  <si>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</si>
  <si>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</si>
  <si>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</si>
  <si>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</si>
  <si>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</si>
  <si>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</si>
  <si>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</si>
  <si>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</si>
  <si>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</si>
  <si>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</si>
  <si>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</si>
  <si>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</si>
  <si>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</si>
  <si>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</si>
  <si>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</si>
  <si>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</si>
  <si>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</si>
  <si>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</si>
  <si>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</si>
  <si>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</si>
  <si>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</si>
  <si>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</si>
  <si>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</si>
  <si>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</si>
  <si>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</si>
  <si>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</si>
  <si>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</si>
  <si>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</si>
  <si>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</si>
  <si>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</si>
  <si>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</si>
  <si>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</si>
  <si>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</si>
  <si>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</si>
  <si>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</si>
  <si>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</si>
  <si>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</si>
  <si>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</si>
  <si>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</si>
  <si>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</si>
  <si>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</si>
  <si>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</si>
  <si>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</si>
  <si>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</si>
  <si>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</si>
  <si>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</si>
  <si>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</si>
  <si>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</si>
  <si>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</si>
  <si>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</si>
  <si>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</si>
  <si>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</si>
  <si>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</si>
  <si>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</si>
  <si>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</si>
  <si>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</si>
  <si>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</si>
  <si>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</si>
  <si>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</si>
  <si>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</si>
  <si>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</si>
  <si>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</si>
  <si>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</si>
  <si>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</si>
  <si>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</si>
  <si>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</si>
  <si>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</si>
  <si>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</si>
  <si>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</si>
  <si>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</si>
  <si>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</si>
  <si>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</si>
  <si>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</si>
  <si>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</si>
  <si>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</si>
  <si>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</si>
  <si>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</si>
  <si>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</si>
  <si>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</si>
  <si>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</si>
  <si>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</si>
  <si>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</si>
  <si>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</si>
  <si>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</si>
  <si>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</si>
  <si>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</si>
  <si>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</si>
  <si>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</si>
  <si>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</si>
  <si>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</si>
  <si>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</si>
  <si>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</si>
  <si>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</si>
  <si>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</si>
  <si>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</si>
  <si>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</si>
  <si>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</si>
  <si>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</si>
  <si>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</si>
  <si>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</si>
  <si>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</si>
  <si>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</si>
  <si>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</si>
  <si>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</si>
  <si>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</si>
  <si>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</si>
  <si>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</si>
  <si>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</si>
  <si>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</si>
  <si>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</si>
  <si>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</si>
  <si>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</si>
  <si>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</si>
  <si>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</si>
  <si>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</si>
  <si>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</si>
  <si>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</si>
  <si>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</si>
  <si>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</si>
  <si>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</si>
  <si>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</si>
  <si>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</si>
  <si>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</si>
  <si>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</si>
  <si>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</si>
  <si>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</si>
  <si>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</si>
  <si>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</si>
  <si>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</si>
  <si>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</si>
  <si>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</si>
  <si>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</si>
  <si>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</si>
  <si>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</si>
  <si>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</si>
  <si>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</si>
  <si>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</si>
  <si>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</si>
  <si>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</si>
  <si>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</si>
  <si>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</si>
  <si>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</si>
  <si>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</si>
  <si>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</si>
  <si>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</si>
  <si>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</si>
  <si>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</si>
  <si>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</si>
  <si>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</si>
  <si>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</si>
  <si>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</si>
  <si>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</si>
  <si>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</si>
  <si>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</si>
  <si>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</si>
  <si>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</si>
  <si>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</si>
  <si>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</si>
  <si>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</si>
  <si>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</si>
  <si>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</si>
  <si>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</si>
  <si>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</si>
  <si>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</si>
  <si>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</si>
  <si>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</si>
  <si>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</si>
  <si>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</si>
  <si>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</si>
  <si>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</si>
  <si>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</si>
  <si>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</si>
  <si>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</si>
  <si>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</si>
  <si>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</si>
  <si>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</si>
  <si>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</si>
  <si>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</si>
  <si>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</si>
  <si>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</si>
  <si>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</si>
  <si>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</si>
  <si>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</si>
  <si>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</si>
  <si>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</si>
  <si>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</si>
  <si>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</si>
  <si>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</si>
  <si>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</si>
  <si>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</si>
  <si>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</si>
  <si>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</si>
  <si>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</si>
  <si>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</si>
  <si>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</si>
  <si>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</si>
  <si>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</si>
  <si>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</si>
  <si>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</si>
  <si>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</si>
  <si>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</si>
  <si>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</si>
  <si>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</si>
  <si>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</si>
  <si>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</si>
  <si>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</si>
  <si>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</si>
  <si>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</si>
  <si>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</si>
  <si>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</si>
  <si>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</si>
  <si>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</si>
  <si>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</si>
  <si>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</si>
  <si>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</si>
  <si>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</si>
  <si>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</si>
  <si>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</si>
  <si>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</si>
  <si>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</si>
  <si>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</si>
  <si>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</si>
  <si>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</si>
  <si>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</si>
  <si>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</si>
  <si>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</si>
  <si>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</si>
  <si>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</si>
  <si>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</si>
  <si>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</si>
  <si>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</si>
  <si>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</si>
  <si>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</si>
  <si>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</si>
  <si>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</si>
  <si>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</si>
  <si>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</si>
  <si>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</si>
  <si>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</si>
  <si>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</si>
  <si>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</si>
  <si>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</si>
  <si>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</si>
  <si>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</si>
  <si>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</si>
  <si>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</si>
  <si>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</si>
  <si>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</si>
  <si>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</si>
  <si>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</si>
  <si>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</si>
  <si>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</si>
  <si>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</si>
  <si>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</si>
  <si>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</si>
  <si>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</si>
  <si>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</si>
  <si>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</si>
  <si>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</si>
  <si>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</si>
  <si>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</si>
  <si>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</si>
  <si>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</si>
  <si>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</si>
  <si>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</si>
  <si>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</si>
  <si>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</si>
  <si>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</si>
  <si>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</si>
  <si>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</si>
  <si>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</si>
  <si>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</si>
  <si>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</si>
  <si>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</si>
  <si>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</si>
  <si>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</si>
  <si>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</si>
  <si>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</si>
  <si>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</si>
  <si>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</si>
  <si>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</si>
  <si>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</si>
  <si>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</si>
  <si>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</si>
  <si>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</si>
  <si>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</si>
  <si>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</si>
  <si>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</si>
  <si>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</si>
  <si>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</si>
  <si>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</si>
  <si>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</si>
  <si>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</si>
  <si>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</si>
  <si>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</si>
  <si>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</si>
  <si>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</si>
  <si>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</si>
  <si>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</si>
  <si>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</si>
  <si>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</si>
  <si>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</si>
  <si>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</si>
  <si>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</si>
  <si>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</si>
  <si>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</si>
  <si>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</si>
  <si>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</si>
  <si>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</si>
  <si>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</si>
  <si>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</si>
  <si>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</si>
  <si>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</si>
  <si>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</si>
  <si>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</si>
  <si>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</si>
  <si>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</si>
  <si>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</si>
  <si>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</si>
  <si>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</si>
  <si>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</si>
  <si>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</si>
  <si>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</si>
  <si>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</si>
  <si>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</si>
  <si>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</si>
  <si>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</si>
  <si>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</si>
  <si>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</si>
  <si>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</si>
  <si>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</si>
  <si>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</si>
  <si>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</si>
  <si>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</si>
  <si>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</si>
  <si>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</si>
  <si>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</si>
  <si>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</si>
  <si>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</si>
  <si>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</si>
  <si>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</si>
  <si>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</si>
  <si>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</si>
  <si>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</si>
  <si>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</si>
  <si>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</si>
  <si>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</si>
  <si>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</si>
  <si>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</si>
  <si>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</si>
  <si>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</si>
  <si>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</si>
  <si>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</si>
  <si>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</si>
  <si>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</si>
  <si>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</si>
  <si>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</si>
  <si>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</si>
  <si>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</si>
  <si>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</si>
  <si>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</si>
  <si>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</si>
  <si>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</si>
  <si>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</si>
  <si>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</si>
  <si>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</si>
  <si>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</si>
  <si>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</si>
  <si>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</si>
  <si>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</si>
  <si>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</si>
  <si>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</si>
  <si>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</si>
  <si>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</si>
  <si>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</si>
  <si>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</si>
  <si>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1.Negro</t>
  </si>
  <si>
    <t xml:space="preserve">2. Otro </t>
  </si>
  <si>
    <t>1. Caucho en condiciones normales</t>
  </si>
  <si>
    <t>2. Caucho resistente a hidrocarburos</t>
  </si>
  <si>
    <t>1. Ojetes</t>
  </si>
  <si>
    <t>2. Combinación de ganchos de extracción rápida con ojetes</t>
  </si>
  <si>
    <t>1. Poliester 100%</t>
  </si>
  <si>
    <t>2. Poliamida 100%</t>
  </si>
  <si>
    <t>El definido en la epecificación técnica del Producto</t>
  </si>
  <si>
    <t>KM 1 VIA, VIA BUGA A LA HABANA UNIDAD BAMOG10</t>
  </si>
  <si>
    <t>KM 1 VIA, VIA BUGA A LA HABANA UNIDAD BAACA 03</t>
  </si>
  <si>
    <t>ESTAPILLA PRO UCEVA</t>
  </si>
  <si>
    <t>ESTAMPILLA PRO DESARROLLO</t>
  </si>
  <si>
    <t>&lt;=145</t>
  </si>
  <si>
    <t>&gt;=145</t>
  </si>
  <si>
    <t>REGION 5 y/o 7</t>
  </si>
  <si>
    <t>Para esta cotización se ha activado la REGIÓN 7 debido a que en la región inicial REGION 5 solo habia un proveedor o no habia ninguno asociado al producto solicitado y/o porque el presupuesto supera más de 600 veces el SMMLV</t>
  </si>
  <si>
    <t>min03-P1-R5_UT MARSAM INTE RAMERICANA</t>
  </si>
  <si>
    <t>min03-P1-R7_IMDICOL SAS</t>
  </si>
  <si>
    <t>min03-P1-R7_LEONEL RODRIGUEZ RAMOS</t>
  </si>
  <si>
    <t>min03-P1-R7_UNION TEMPORAL DOTACALZADO 2024</t>
  </si>
  <si>
    <t>min03-P1-R7_BACET GROUP S.A.S.</t>
  </si>
  <si>
    <t>min03-P1-R7_UNIÓN TEMPORAL DISJOV 2024</t>
  </si>
  <si>
    <t>min03-P1-R7_SPARTA SHOES S.A.S</t>
  </si>
  <si>
    <t>min03-P1-R7_UT CALZADO BSB</t>
  </si>
  <si>
    <t>min03-P1-R7_INVERSIONES SARHEM DE COLOMBIA S.A.S.</t>
  </si>
  <si>
    <t>1_min03-P1</t>
  </si>
  <si>
    <t>R5</t>
  </si>
  <si>
    <t>R7</t>
  </si>
  <si>
    <t>145</t>
  </si>
  <si>
    <t>"408136"</t>
  </si>
  <si>
    <t>"11244146,8"</t>
  </si>
  <si>
    <t>"min03---min03-P1-REGION 5 y/o 7-COMPRAVENTA-NO-BOTA DE COMBATE MEDIA CAÃ±A EN CUERO SISTEMA VULCANIZADO E INYECCIÃ³N DIRECTA_segÃºn NTMD vigente"</t>
  </si>
  <si>
    <t>Item,145,PAR,"408136",COP,"min03---min03-P1-REGION 5 y/o 7-COMPRAVENTA-NO-BOTA DE COMBATE MEDIA CAÃ±A EN CUERO SISTEMA VULCANIZADO E INYECCIÃ³N DIRECTA_segÃºn NTMD vigente",</t>
  </si>
  <si>
    <t>Item,1,Und,"11244146,8",COP,min03--IVA,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</si>
</sst>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3" fillId="7" borderId="10" xfId="0" applyFont="1" applyFill="1" applyBorder="1" applyAlignment="1" applyProtection="1">
      <alignment horizontal="center" vertical="center" wrapText="1"/>
      <protection locked="0" hidden="1"/>
    </xf>
    <xf numFmtId="3" fontId="3" fillId="7" borderId="10" xfId="20" applyNumberFormat="1" applyFont="1" applyFill="1" applyBorder="1" applyAlignment="1" applyProtection="1">
      <alignment horizontal="center" vertical="center" wrapText="1"/>
      <protection locked="0"/>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44" fillId="7" borderId="10" xfId="0" applyFont="1" applyFill="1" applyBorder="1" applyAlignment="1" applyProtection="1">
      <alignment horizontal="center" vertical="center"/>
      <protection locked="0"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43" fillId="38" borderId="62" xfId="0" applyFont="1" applyFill="1" applyBorder="1" applyAlignment="1" applyProtection="1">
      <alignment horizontal="center" vertical="center"/>
      <protection hidden="1"/>
    </xf>
    <xf numFmtId="3" fontId="44" fillId="7" borderId="10" xfId="0" applyNumberFormat="1" applyFont="1" applyFill="1" applyBorder="1" applyAlignment="1" applyProtection="1">
      <alignment horizontal="center" vertical="center"/>
      <protection locked="0"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0" fontId="15" fillId="19" borderId="10" xfId="0" applyFont="1" applyFill="1" applyBorder="1" applyAlignment="1" applyProtection="1">
      <alignment horizontal="center" vertical="center" wrapText="1"/>
      <protection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0" fillId="7" borderId="22" xfId="0" applyFill="1" applyBorder="1" applyAlignment="1">
      <alignment horizontal="left" vertical="center"/>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10" fontId="1" fillId="7" borderId="10" xfId="4" applyNumberFormat="1" applyFont="1" applyFill="1" applyBorder="1" applyAlignment="1" applyProtection="1">
      <alignment horizontal="center" wrapText="1"/>
      <protection locked="0"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0" fontId="43" fillId="3" borderId="66"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4" fillId="3" borderId="66" xfId="0" applyFont="1" applyFill="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41</xdr:row>
      <xdr:rowOff>45719</xdr:rowOff>
    </xdr:from>
    <xdr:to>
      <xdr:col>17</xdr:col>
      <xdr:colOff>461118</xdr:colOff>
      <xdr:row>43</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7755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71</xdr:row>
      <xdr:rowOff>28575</xdr:rowOff>
    </xdr:from>
    <xdr:to>
      <xdr:col>18</xdr:col>
      <xdr:colOff>78441</xdr:colOff>
      <xdr:row>73</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3957487"/>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61</xdr:row>
      <xdr:rowOff>52916</xdr:rowOff>
    </xdr:from>
    <xdr:to>
      <xdr:col>17</xdr:col>
      <xdr:colOff>460060</xdr:colOff>
      <xdr:row>63</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12020798"/>
          <a:ext cx="2801466" cy="347161"/>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iFdrhUpz8tJx+pUoCkPQJFJszpm0MQ0V+nzhUjLZmO+bVuP7cO2ySfyJ42W6XDAeTgGD6yVphGn6wS6GZq7xoA==" saltValue="Xb2gJdktCVE3y2YmwZSa7g=="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5" r:id="rId4" name="btn_seg3">
          <controlPr defaultSize="0" autoLine="0" r:id="rId5">
            <anchor moveWithCells="1">
              <from>
                <xdr:col>11</xdr:col>
                <xdr:colOff>266700</xdr:colOff>
                <xdr:row>17</xdr:row>
                <xdr:rowOff>114300</xdr:rowOff>
              </from>
              <to>
                <xdr:col>13</xdr:col>
                <xdr:colOff>152400</xdr:colOff>
                <xdr:row>20</xdr:row>
                <xdr:rowOff>47625</xdr:rowOff>
              </to>
            </anchor>
          </controlPr>
        </control>
      </mc:Choice>
      <mc:Fallback>
        <control shapeId="28675" r:id="rId4" name="btn_seg3"/>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3" r:id="rId8" name="btn_CatA">
          <controlPr defaultSize="0" autoLine="0" r:id="rId9">
            <anchor moveWithCells="1">
              <from>
                <xdr:col>3</xdr:col>
                <xdr:colOff>9525</xdr:colOff>
                <xdr:row>17</xdr:row>
                <xdr:rowOff>133350</xdr:rowOff>
              </from>
              <to>
                <xdr:col>4</xdr:col>
                <xdr:colOff>476250</xdr:colOff>
                <xdr:row>19</xdr:row>
                <xdr:rowOff>171450</xdr:rowOff>
              </to>
            </anchor>
          </controlPr>
        </control>
      </mc:Choice>
      <mc:Fallback>
        <control shapeId="28673" r:id="rId8" name="btn_CatA"/>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x</v>
      </c>
      <c r="AHJ8" s="146" t="str">
        <f>+IF(AHI9&lt;&gt;"","x","")</f>
        <v>x</v>
      </c>
      <c r="AHK8" s="146" t="str">
        <f>+IF(AHI9&lt;&gt;"","x","")</f>
        <v>x</v>
      </c>
      <c r="AHL8" s="146" t="str">
        <f>+IF(AHL9&lt;&gt;"","x","")</f>
        <v>x</v>
      </c>
      <c r="AHM8" s="146" t="str">
        <f>+IF(AHL9&lt;&gt;"","x","")</f>
        <v>x</v>
      </c>
      <c r="AHN8" s="146" t="str">
        <f>+IF(AHL9&lt;&gt;"","x","")</f>
        <v>x</v>
      </c>
      <c r="AHO8" s="146" t="str">
        <f>+IF(AHO9&lt;&gt;"","x","")</f>
        <v>x</v>
      </c>
      <c r="AHP8" s="146" t="str">
        <f>+IF(AHO9&lt;&gt;"","x","")</f>
        <v>x</v>
      </c>
      <c r="AHQ8" s="146" t="str">
        <f>+IF(AHO9&lt;&gt;"","x","")</f>
        <v>x</v>
      </c>
      <c r="AHR8" s="146" t="str">
        <f>+IF(AHR9&lt;&gt;"","x","")</f>
        <v>x</v>
      </c>
      <c r="AHS8" s="146" t="str">
        <f>+IF(AHR9&lt;&gt;"","x","")</f>
        <v>x</v>
      </c>
      <c r="AHT8" s="146" t="str">
        <f>+IF(AHR9&lt;&gt;"","x","")</f>
        <v>x</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60" t="s">
        <v>1388</v>
      </c>
      <c r="FT9" s="260"/>
      <c r="FU9" s="260"/>
      <c r="FV9" s="260"/>
      <c r="FW9" s="260"/>
      <c r="FX9" s="260"/>
      <c r="FY9" s="260"/>
      <c r="FZ9" s="260"/>
      <c r="GA9" s="260"/>
      <c r="GB9" s="260"/>
      <c r="GC9" s="260"/>
      <c r="GD9" s="260"/>
      <c r="GE9" s="260"/>
      <c r="GF9" s="260"/>
      <c r="GG9" s="260"/>
      <c r="GH9" s="260"/>
      <c r="GI9" s="260"/>
      <c r="GJ9" s="260"/>
      <c r="GK9" s="260"/>
      <c r="GL9" s="260"/>
      <c r="GM9" s="260"/>
      <c r="GN9" s="260"/>
      <c r="GO9" s="260"/>
      <c r="GP9" s="260"/>
      <c r="GQ9" s="260"/>
      <c r="GR9" s="260"/>
      <c r="GS9" s="260"/>
      <c r="GT9" s="260"/>
      <c r="GU9" s="52"/>
      <c r="GV9" s="52"/>
      <c r="GW9" s="52"/>
      <c r="GX9" s="52"/>
      <c r="GY9" s="52"/>
      <c r="GZ9" s="260" t="s">
        <v>1389</v>
      </c>
      <c r="HA9" s="260"/>
      <c r="HB9" s="260"/>
      <c r="HC9" s="260"/>
      <c r="HD9" s="260"/>
      <c r="HE9" s="260"/>
      <c r="HF9" s="260"/>
      <c r="HG9" s="260"/>
      <c r="HH9" s="260"/>
      <c r="HI9" s="260"/>
      <c r="HJ9" s="260"/>
      <c r="HK9" s="260"/>
      <c r="HL9" s="260"/>
      <c r="HM9" s="260"/>
      <c r="HN9" s="260"/>
      <c r="HO9" s="260"/>
      <c r="HP9" s="260"/>
      <c r="HQ9" s="260"/>
      <c r="HR9" s="260"/>
      <c r="HS9" s="260"/>
      <c r="HT9" s="260"/>
      <c r="HU9" s="260"/>
      <c r="HV9" s="260"/>
      <c r="HW9" s="260"/>
      <c r="HX9" s="260"/>
      <c r="HY9" s="260"/>
      <c r="HZ9" s="260"/>
      <c r="IA9" s="260"/>
      <c r="IB9" s="52"/>
      <c r="IC9" s="52"/>
      <c r="ID9" s="52"/>
      <c r="IE9" s="52"/>
      <c r="IF9" s="52"/>
      <c r="IG9" s="260" t="s">
        <v>4063</v>
      </c>
      <c r="IH9" s="260"/>
      <c r="II9" s="260"/>
      <c r="IJ9" s="260"/>
      <c r="IK9" s="260"/>
      <c r="IL9" s="260"/>
      <c r="IM9" s="260"/>
      <c r="IN9" s="260"/>
      <c r="IO9" s="260"/>
      <c r="IP9" s="260"/>
      <c r="IQ9" s="260"/>
      <c r="IR9" s="260"/>
      <c r="IS9" s="260"/>
      <c r="IT9" s="260"/>
      <c r="IU9" s="260"/>
      <c r="IV9" s="260"/>
      <c r="IW9" s="260"/>
      <c r="IX9" s="260"/>
      <c r="IY9" s="260"/>
      <c r="IZ9" s="260"/>
      <c r="JA9" s="260"/>
      <c r="JB9" s="260"/>
      <c r="JC9" s="260"/>
      <c r="JD9" s="260"/>
      <c r="JE9" s="260"/>
      <c r="JF9" s="260"/>
      <c r="JG9" s="260"/>
      <c r="JH9" s="260"/>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205" t="s">
        <v>3085</v>
      </c>
      <c r="MJ9" s="205"/>
      <c r="MK9" s="205"/>
      <c r="ML9" s="205" t="s">
        <v>1322</v>
      </c>
      <c r="MM9" s="205"/>
      <c r="MN9" s="205"/>
      <c r="MO9" s="205" t="s">
        <v>1447</v>
      </c>
      <c r="MP9" s="205"/>
      <c r="MQ9" s="205"/>
      <c r="MR9" s="377" t="s">
        <v>1323</v>
      </c>
      <c r="MS9" s="378"/>
      <c r="MT9" s="378"/>
      <c r="MU9" s="377" t="s">
        <v>1324</v>
      </c>
      <c r="MV9" s="378"/>
      <c r="MW9" s="378"/>
      <c r="MX9" s="377" t="s">
        <v>1353</v>
      </c>
      <c r="MY9" s="378"/>
      <c r="MZ9" s="378"/>
      <c r="NH9" s="205" t="s">
        <v>1323</v>
      </c>
      <c r="NI9" s="205"/>
      <c r="NJ9" s="205"/>
      <c r="NK9" s="314">
        <f ca="1">+SUM(OFFSET(NH$1,0,3,MATCH("Subtotal",NH:NH,0)-1))</f>
        <v>0</v>
      </c>
      <c r="NL9" s="314"/>
      <c r="NM9" s="314"/>
      <c r="NN9" s="314"/>
      <c r="NV9" s="205" t="s">
        <v>1323</v>
      </c>
      <c r="NW9" s="205"/>
      <c r="NX9" s="205"/>
      <c r="NY9" s="314">
        <f ca="1">+SUM(OFFSET(NV$1,0,3,MATCH("Subtotal",NV:NV,0)-1))</f>
        <v>0</v>
      </c>
      <c r="NZ9" s="314"/>
      <c r="OA9" s="314"/>
      <c r="OB9" s="314"/>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314">
        <f ca="1">+SUM($AV$33:INDIRECT("AV"&amp;ROW()-1))</f>
        <v>0</v>
      </c>
      <c r="SC9" s="314"/>
      <c r="SD9" s="314"/>
      <c r="SE9" s="452" t="s">
        <v>1359</v>
      </c>
      <c r="SF9" s="453"/>
      <c r="SG9" s="453"/>
      <c r="SH9" s="453"/>
      <c r="SI9" s="314">
        <f ca="1">+SUM($BC$33:INDIRECT("BC"&amp;ROW()-1))</f>
        <v>0</v>
      </c>
      <c r="SJ9" s="314"/>
      <c r="SK9" s="314"/>
      <c r="SL9" s="314">
        <f ca="1">+SUM($BF$33:INDIRECT("BF"&amp;ROW()-1))</f>
        <v>0</v>
      </c>
      <c r="SM9" s="314"/>
      <c r="SN9" s="314"/>
      <c r="TC9" s="209"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2"/>
      <c r="UR9" s="192"/>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2"/>
      <c r="WL9" s="192"/>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205" t="s">
        <v>1323</v>
      </c>
      <c r="ACR9" s="205"/>
      <c r="ACS9" s="205"/>
      <c r="ACT9" s="314">
        <f>+ResCotizacion!$R$25</f>
        <v>0</v>
      </c>
      <c r="ACU9" s="314"/>
      <c r="ACV9" s="314"/>
      <c r="ACW9" s="314"/>
      <c r="ADC9" s="205" t="s">
        <v>1478</v>
      </c>
      <c r="ADD9" s="205"/>
      <c r="ADE9" s="205"/>
      <c r="ADF9" s="205" t="s">
        <v>1477</v>
      </c>
      <c r="ADG9" s="205"/>
      <c r="ADH9" s="205"/>
      <c r="ADI9" s="205" t="s">
        <v>1324</v>
      </c>
      <c r="ADJ9" s="205"/>
      <c r="ADK9" s="205" t="s">
        <v>1450</v>
      </c>
      <c r="ADL9" s="205"/>
      <c r="ADM9" s="205" t="s">
        <v>1354</v>
      </c>
      <c r="ADN9" s="205"/>
      <c r="ADO9" s="205"/>
      <c r="ADP9" s="205" t="s">
        <v>1353</v>
      </c>
      <c r="ADQ9" s="205"/>
      <c r="ADR9" s="205"/>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205" t="str">
        <f>+IF(Desplegable_prod!$A$1&lt;&gt;"",Desplegable_prod!$A$1,"")</f>
        <v>Combinaciones de color segun la entidad compradora</v>
      </c>
      <c r="AHA9" s="205"/>
      <c r="AHB9" s="205"/>
      <c r="AHC9" s="205" t="str">
        <f>+IF(Desplegable_prod!$B$1&lt;&gt;"",Desplegable_prod!$B$1,"")</f>
        <v>Tallas</v>
      </c>
      <c r="AHD9" s="205"/>
      <c r="AHE9" s="205"/>
      <c r="AHF9" s="205" t="str">
        <f>+IF(Desplegable_prod!$C$1&lt;&gt;"",Desplegable_prod!$C$1,"")</f>
        <v>Tipo de suela</v>
      </c>
      <c r="AHG9" s="205"/>
      <c r="AHH9" s="205"/>
      <c r="AHI9" s="205" t="str">
        <f>+IF(Desplegable_prod!$D$1&lt;&gt;"",Desplegable_prod!$D$1,"")</f>
        <v>Cordonera</v>
      </c>
      <c r="AHJ9" s="205"/>
      <c r="AHK9" s="205"/>
      <c r="AHL9" s="205" t="str">
        <f>+IF(Desplegable_prod!$E$1&lt;&gt;"",Desplegable_prod!$E$1,"")</f>
        <v xml:space="preserve">Material cordón </v>
      </c>
      <c r="AHM9" s="205"/>
      <c r="AHN9" s="205"/>
      <c r="AHO9" s="205" t="str">
        <f>+IF(Desplegable_prod!$F$1&lt;&gt;"",Desplegable_prod!$F$1,"")</f>
        <v xml:space="preserve">Color del cordón </v>
      </c>
      <c r="AHP9" s="205"/>
      <c r="AHQ9" s="205"/>
      <c r="AHR9" s="205" t="str">
        <f>+IF(Desplegable_prod!$G$1&lt;&gt;"",Desplegable_prod!$G$1,"")</f>
        <v>Color de ojetes, ganchos de extracción rápida</v>
      </c>
      <c r="AHS9" s="205"/>
      <c r="AHT9" s="205"/>
      <c r="AHU9" s="205" t="str">
        <f>+IF(Desplegable_prod!$H$1&lt;&gt;"",Desplegable_prod!$H$1,"")</f>
        <v/>
      </c>
      <c r="AHV9" s="205"/>
      <c r="AHW9" s="205"/>
      <c r="AHX9" s="205" t="str">
        <f>+IF(Desplegable_prod!$I$1&lt;&gt;"",Desplegable_prod!$I$1,"")</f>
        <v/>
      </c>
      <c r="AHY9" s="205"/>
      <c r="AHZ9" s="205"/>
      <c r="AIA9" s="205" t="str">
        <f>+IF(Desplegable_prod!$J$1&lt;&gt;"",Desplegable_prod!$J$1,"")</f>
        <v/>
      </c>
      <c r="AIB9" s="205"/>
      <c r="AIC9" s="205"/>
      <c r="AIO9" s="203" t="s">
        <v>159</v>
      </c>
      <c r="AIP9" s="204"/>
      <c r="AIQ9" s="204"/>
      <c r="AJH9" s="154" t="s">
        <v>263</v>
      </c>
      <c r="AJI9" s="318" t="s">
        <v>3494</v>
      </c>
      <c r="AJJ9" s="318"/>
      <c r="AJK9" s="318"/>
      <c r="AJL9" s="318" t="s">
        <v>3129</v>
      </c>
      <c r="AJM9" s="318"/>
      <c r="AJN9" s="318"/>
      <c r="AJO9" s="318"/>
      <c r="AJP9" s="318"/>
      <c r="AJQ9" s="318"/>
      <c r="AJR9" s="318"/>
      <c r="AJS9" s="318"/>
      <c r="AJT9" s="318"/>
      <c r="AJU9" s="318"/>
      <c r="AJV9" s="318"/>
      <c r="AJW9" s="318" t="s">
        <v>159</v>
      </c>
      <c r="AJX9" s="318"/>
      <c r="AJY9" s="318"/>
      <c r="AJZ9" s="319" t="s">
        <v>3489</v>
      </c>
      <c r="AKA9" s="319"/>
      <c r="AKB9" s="320"/>
      <c r="AKC9" s="318" t="s">
        <v>3490</v>
      </c>
      <c r="AKD9" s="318"/>
      <c r="AKE9" s="318"/>
      <c r="AKF9" s="318" t="s">
        <v>1352</v>
      </c>
      <c r="AKG9" s="318"/>
      <c r="AKH9" s="318"/>
      <c r="AKI9" s="318"/>
      <c r="AKR9" s="154" t="s">
        <v>263</v>
      </c>
      <c r="AKS9" s="318" t="s">
        <v>3494</v>
      </c>
      <c r="AKT9" s="318"/>
      <c r="AKU9" s="318"/>
      <c r="AKV9" s="474" t="s">
        <v>3129</v>
      </c>
      <c r="AKW9" s="475"/>
      <c r="AKX9" s="475"/>
      <c r="AKY9" s="475"/>
      <c r="AKZ9" s="475"/>
      <c r="ALA9" s="475"/>
      <c r="ALB9" s="475"/>
      <c r="ALC9" s="475"/>
      <c r="ALD9" s="475"/>
      <c r="ALE9" s="475"/>
      <c r="ALF9" s="475"/>
      <c r="ALG9" s="475"/>
      <c r="ALH9" s="475"/>
      <c r="ALI9" s="476"/>
      <c r="ALJ9" s="318" t="s">
        <v>3933</v>
      </c>
      <c r="ALK9" s="318"/>
      <c r="ALL9" s="318"/>
      <c r="ALM9" s="318" t="s">
        <v>3924</v>
      </c>
      <c r="ALN9" s="318"/>
      <c r="ALO9" s="318"/>
      <c r="ALP9" s="318" t="s">
        <v>3932</v>
      </c>
      <c r="ALQ9" s="318"/>
      <c r="ALR9" s="318"/>
      <c r="ALS9" s="318"/>
      <c r="AME9" s="348" t="s">
        <v>3916</v>
      </c>
      <c r="AMF9" s="349"/>
      <c r="AMG9" s="349"/>
      <c r="AMH9" s="354" t="str">
        <f>+IFERROR(VLOOKUP(Cotizacion!$I$32,Cat_Filtro2!$E:$L,8,FALSE),"")</f>
        <v>REGION 7</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05" t="s">
        <v>1322</v>
      </c>
      <c r="ANO9" s="205"/>
      <c r="ANP9" s="205"/>
      <c r="ANQ9" s="205" t="s">
        <v>1449</v>
      </c>
      <c r="ANR9" s="205"/>
      <c r="ANS9" s="205"/>
      <c r="ANT9" s="205" t="s">
        <v>3926</v>
      </c>
      <c r="ANU9" s="205"/>
      <c r="ANV9" s="205" t="s">
        <v>3927</v>
      </c>
      <c r="ANW9" s="205"/>
      <c r="ANX9" s="205"/>
      <c r="ANY9" s="205" t="s">
        <v>1352</v>
      </c>
      <c r="ANZ9" s="205"/>
      <c r="AOA9" s="205"/>
      <c r="AOB9" s="205" t="s">
        <v>1324</v>
      </c>
      <c r="AOC9" s="205"/>
      <c r="AOD9" s="205" t="s">
        <v>1450</v>
      </c>
      <c r="AOE9" s="205"/>
      <c r="AOF9" s="205" t="s">
        <v>1354</v>
      </c>
      <c r="AOG9" s="205"/>
      <c r="AOH9" s="205"/>
      <c r="AOI9" s="205" t="s">
        <v>1353</v>
      </c>
      <c r="AOJ9" s="205"/>
      <c r="AOK9" s="205"/>
      <c r="AOL9" s="205" t="s">
        <v>3934</v>
      </c>
      <c r="AOM9" s="205"/>
      <c r="AON9" s="205"/>
      <c r="AOO9" s="205" t="s">
        <v>3935</v>
      </c>
      <c r="AOP9" s="205"/>
      <c r="AOQ9" s="205"/>
      <c r="AOR9" s="205" t="s">
        <v>3941</v>
      </c>
      <c r="AOS9" s="205"/>
      <c r="AOT9" s="205"/>
      <c r="AOU9" s="205"/>
      <c r="AOV9" s="205"/>
      <c r="AOW9" s="205"/>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60"/>
      <c r="FT10" s="260"/>
      <c r="FU10" s="260"/>
      <c r="FV10" s="260"/>
      <c r="FW10" s="260"/>
      <c r="FX10" s="260"/>
      <c r="FY10" s="260"/>
      <c r="FZ10" s="260"/>
      <c r="GA10" s="260"/>
      <c r="GB10" s="260"/>
      <c r="GC10" s="260"/>
      <c r="GD10" s="260"/>
      <c r="GE10" s="260"/>
      <c r="GF10" s="260"/>
      <c r="GG10" s="260"/>
      <c r="GH10" s="260"/>
      <c r="GI10" s="260"/>
      <c r="GJ10" s="260"/>
      <c r="GK10" s="260"/>
      <c r="GL10" s="260"/>
      <c r="GM10" s="260"/>
      <c r="GN10" s="260"/>
      <c r="GO10" s="260"/>
      <c r="GP10" s="260"/>
      <c r="GQ10" s="260"/>
      <c r="GR10" s="260"/>
      <c r="GS10" s="260"/>
      <c r="GT10" s="260"/>
      <c r="GU10" s="52"/>
      <c r="GV10" s="52"/>
      <c r="GW10" s="52"/>
      <c r="GX10" s="52"/>
      <c r="GY10" s="52"/>
      <c r="GZ10" s="260"/>
      <c r="HA10" s="260"/>
      <c r="HB10" s="260"/>
      <c r="HC10" s="260"/>
      <c r="HD10" s="260"/>
      <c r="HE10" s="260"/>
      <c r="HF10" s="260"/>
      <c r="HG10" s="260"/>
      <c r="HH10" s="260"/>
      <c r="HI10" s="260"/>
      <c r="HJ10" s="260"/>
      <c r="HK10" s="260"/>
      <c r="HL10" s="260"/>
      <c r="HM10" s="260"/>
      <c r="HN10" s="260"/>
      <c r="HO10" s="260"/>
      <c r="HP10" s="260"/>
      <c r="HQ10" s="260"/>
      <c r="HR10" s="260"/>
      <c r="HS10" s="260"/>
      <c r="HT10" s="260"/>
      <c r="HU10" s="260"/>
      <c r="HV10" s="260"/>
      <c r="HW10" s="260"/>
      <c r="HX10" s="260"/>
      <c r="HY10" s="260"/>
      <c r="HZ10" s="260"/>
      <c r="IA10" s="260"/>
      <c r="IB10" s="52"/>
      <c r="IC10" s="52"/>
      <c r="ID10" s="52"/>
      <c r="IE10" s="52"/>
      <c r="IF10" s="52"/>
      <c r="IG10" s="260"/>
      <c r="IH10" s="260"/>
      <c r="II10" s="260"/>
      <c r="IJ10" s="260"/>
      <c r="IK10" s="260"/>
      <c r="IL10" s="260"/>
      <c r="IM10" s="260"/>
      <c r="IN10" s="260"/>
      <c r="IO10" s="260"/>
      <c r="IP10" s="260"/>
      <c r="IQ10" s="260"/>
      <c r="IR10" s="260"/>
      <c r="IS10" s="260"/>
      <c r="IT10" s="260"/>
      <c r="IU10" s="260"/>
      <c r="IV10" s="260"/>
      <c r="IW10" s="260"/>
      <c r="IX10" s="260"/>
      <c r="IY10" s="260"/>
      <c r="IZ10" s="260"/>
      <c r="JA10" s="260"/>
      <c r="JB10" s="260"/>
      <c r="JC10" s="260"/>
      <c r="JD10" s="260"/>
      <c r="JE10" s="260"/>
      <c r="JF10" s="260"/>
      <c r="JG10" s="260"/>
      <c r="JH10" s="260"/>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314" t="str">
        <f>+IFERROR(ROUND(VLOOKUP(LG10&amp;"_"&amp;LH10,Cat_resumido!$C:$DE,Var!$F$2+2,FALSE)/MG10,0),"")</f>
        <v/>
      </c>
      <c r="MM10" s="314"/>
      <c r="MN10" s="314"/>
      <c r="MO10" s="314" t="str">
        <f ca="1">+IFERROR(ROUND(ML10/(1-Var!$F$3),0),"")</f>
        <v/>
      </c>
      <c r="MP10" s="314"/>
      <c r="MQ10" s="314"/>
      <c r="MR10" s="323" t="str">
        <f ca="1">IFERROR(ROUND(MO10*MG10,2),"")</f>
        <v/>
      </c>
      <c r="MS10" s="324"/>
      <c r="MT10" s="325"/>
      <c r="MU10" s="323" t="str">
        <f ca="1">IFERROR(ROUND(MR10*LX10,2),"")</f>
        <v/>
      </c>
      <c r="MV10" s="324"/>
      <c r="MW10" s="325"/>
      <c r="MX10" s="323" t="str">
        <f ca="1">IFERROR(ROUND(MR10+MU10,2),"")</f>
        <v/>
      </c>
      <c r="MY10" s="324"/>
      <c r="MZ10" s="325"/>
      <c r="NH10" s="205" t="s">
        <v>1324</v>
      </c>
      <c r="NI10" s="205"/>
      <c r="NJ10" s="205"/>
      <c r="NK10" s="315">
        <f ca="1">+ROUND(NK9*0.19,2)</f>
        <v>0</v>
      </c>
      <c r="NL10" s="315"/>
      <c r="NM10" s="315"/>
      <c r="NN10" s="315"/>
      <c r="NV10" s="205" t="s">
        <v>1324</v>
      </c>
      <c r="NW10" s="205"/>
      <c r="NX10" s="205"/>
      <c r="NY10" s="315">
        <f ca="1">+ROUND(NY9*0.19,2)</f>
        <v>0</v>
      </c>
      <c r="NZ10" s="315"/>
      <c r="OA10" s="315"/>
      <c r="OB10" s="315"/>
      <c r="OC10"/>
      <c r="OD10"/>
      <c r="OE10"/>
      <c r="OF10"/>
      <c r="OG10"/>
      <c r="OH10"/>
      <c r="OI10"/>
      <c r="OJ10"/>
      <c r="OK10"/>
      <c r="OL10"/>
      <c r="OM10"/>
      <c r="OP10" s="323" t="str">
        <f ca="1">+IFERROR(ROUND(VLOOKUP(NX10&amp;"_"&amp;NY10,Cat_resumido!$C:$CZ,Var!$F$6-2,FALSE)/OM10,2),"")</f>
        <v/>
      </c>
      <c r="OQ10" s="324"/>
      <c r="OR10" s="325"/>
      <c r="OS10" s="314" t="str">
        <f ca="1">+IFERROR(ROUND(OP10/(1-Var!$F$3),2),"")</f>
        <v/>
      </c>
      <c r="OT10" s="314"/>
      <c r="OU10" s="314"/>
      <c r="OV10" s="346"/>
      <c r="OW10" s="346"/>
      <c r="OX10" s="314" t="str">
        <f ca="1">IFERROR(ROUND(OS10*(1-OV10),2),"")</f>
        <v/>
      </c>
      <c r="OY10" s="314"/>
      <c r="OZ10" s="314"/>
      <c r="PA10" s="314" t="str">
        <f ca="1">IFERROR(ROUND(OX10*OM10,2),"")</f>
        <v/>
      </c>
      <c r="PB10" s="314"/>
      <c r="PC10" s="314"/>
      <c r="PD10" s="345"/>
      <c r="PE10" s="345"/>
      <c r="PF10" s="346"/>
      <c r="PG10" s="346"/>
      <c r="PH10" s="314">
        <f>+IFERROR(IF(PD10="SI",ROUND(PA10*PF10,2),0),"")</f>
        <v>0</v>
      </c>
      <c r="PI10" s="314"/>
      <c r="PJ10" s="314"/>
      <c r="PK10" s="314" t="str">
        <f ca="1">+IFERROR(ROUND(PA10+PH10,2),"")</f>
        <v/>
      </c>
      <c r="PL10" s="314"/>
      <c r="PM10" s="314"/>
      <c r="PN10"/>
      <c r="PO10"/>
      <c r="PP10"/>
      <c r="PQ10"/>
      <c r="PR10"/>
      <c r="PS10"/>
      <c r="PT10"/>
      <c r="PU10"/>
      <c r="PV10"/>
      <c r="PW10"/>
      <c r="PX10"/>
      <c r="QA10" s="314" t="str">
        <f>+IFERROR(ROUND(VLOOKUP(PI10&amp;"_"&amp;PJ10,Cat_resumido!$C:$CZ,Var!$F$6-2,FALSE)/1,2),"")</f>
        <v/>
      </c>
      <c r="QB10" s="314"/>
      <c r="QC10" s="314"/>
      <c r="QD10" s="314" t="str">
        <f ca="1">+IFERROR(ROUND(QA10/(1-Var!$F$3),2),"")</f>
        <v/>
      </c>
      <c r="QE10" s="314"/>
      <c r="QF10" s="314"/>
      <c r="QG10" s="451">
        <f ca="1">+IFERROR(ROUND(Cotizacion!$AE$22/QD10,0),0)</f>
        <v>0</v>
      </c>
      <c r="QH10" s="451"/>
      <c r="QI10" s="314" t="str">
        <f ca="1">IFERROR(ROUND((Cotizacion!$AE$22-QS10)/QG10,2),"")</f>
        <v/>
      </c>
      <c r="QJ10" s="314"/>
      <c r="QK10" s="314"/>
      <c r="QL10" s="314" t="str">
        <f ca="1">IFERROR(ROUND(QI10*QG10,2),"")</f>
        <v/>
      </c>
      <c r="QM10" s="314"/>
      <c r="QN10" s="314"/>
      <c r="QO10" s="345"/>
      <c r="QP10" s="345"/>
      <c r="QQ10" s="346"/>
      <c r="QR10" s="346"/>
      <c r="QS10" s="314">
        <f>+IFERROR(IF(QO10="SI",ROUND(Cotizacion!$AE$22-(Cotizacion!$AE$22/(1+QQ10)),2),0),"")</f>
        <v>0</v>
      </c>
      <c r="QT10" s="314"/>
      <c r="QU10" s="314"/>
      <c r="QV10" s="314" t="str">
        <f ca="1">IFERROR(QL10+QS10,"")</f>
        <v/>
      </c>
      <c r="QW10" s="314"/>
      <c r="QX10" s="314"/>
      <c r="QY10"/>
      <c r="QZ10"/>
      <c r="RA10"/>
      <c r="TC10" s="210"/>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2"/>
      <c r="ZF10" s="192"/>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205" t="s">
        <v>1324</v>
      </c>
      <c r="ACR10" s="205"/>
      <c r="ACS10" s="205"/>
      <c r="ACT10" s="315">
        <f>+ROUND(ACT9*0.19,0)</f>
        <v>0</v>
      </c>
      <c r="ACU10" s="315"/>
      <c r="ACV10" s="315"/>
      <c r="ACW10" s="315"/>
      <c r="ADC10" s="397"/>
      <c r="ADD10" s="398"/>
      <c r="ADE10" s="399"/>
      <c r="ADF10" s="314">
        <f ca="1">+IFERROR(ROUND(ADC10/(1-Var!$F$3),2),"")</f>
        <v>0</v>
      </c>
      <c r="ADG10" s="314"/>
      <c r="ADH10" s="314"/>
      <c r="ADI10" s="345"/>
      <c r="ADJ10" s="345"/>
      <c r="ADK10" s="346"/>
      <c r="ADL10" s="346"/>
      <c r="ADM10" s="314">
        <f>+IFERROR(IF(ADI10="SI",ROUND(ADK10*ADF10,0),0),"")</f>
        <v>0</v>
      </c>
      <c r="ADN10" s="314"/>
      <c r="ADO10" s="314"/>
      <c r="ADP10" s="314">
        <f ca="1">+IFERROR(ADM10+ADF10,"")</f>
        <v>0</v>
      </c>
      <c r="ADQ10" s="314"/>
      <c r="ADR10" s="314"/>
      <c r="AGY10" s="75">
        <f>IFERROR(IF(AGY9="Ítem",1,ROW()-ROW(SolCotizacion!$F$28)-5),"error")</f>
        <v>1</v>
      </c>
      <c r="AGZ10" s="191"/>
      <c r="AHA10" s="191"/>
      <c r="AHB10" s="191"/>
      <c r="AHC10" s="191"/>
      <c r="AHD10" s="191"/>
      <c r="AHE10" s="191"/>
      <c r="AHF10" s="191"/>
      <c r="AHG10" s="191"/>
      <c r="AHH10" s="191"/>
      <c r="AHI10" s="191"/>
      <c r="AHJ10" s="191"/>
      <c r="AHK10" s="191"/>
      <c r="AHL10" s="191"/>
      <c r="AHM10" s="191"/>
      <c r="AHN10" s="191"/>
      <c r="AHO10" s="191"/>
      <c r="AHP10" s="191"/>
      <c r="AHQ10" s="191"/>
      <c r="AHR10" s="191"/>
      <c r="AHS10" s="191"/>
      <c r="AHT10" s="191"/>
      <c r="AHU10" s="191"/>
      <c r="AHV10" s="191"/>
      <c r="AHW10" s="191"/>
      <c r="AHX10" s="191"/>
      <c r="AHY10" s="191"/>
      <c r="AHZ10" s="191"/>
      <c r="AIA10" s="191"/>
      <c r="AIB10" s="191"/>
      <c r="AIC10" s="191"/>
      <c r="AIO10" s="192"/>
      <c r="AIP10" s="192"/>
      <c r="AIQ10" s="192"/>
      <c r="AJH10" s="155">
        <f>IFERROR(IF(AJH9="Ítem",1,ROW()-ROW(SolCotizacion!#REF!)),ROW()-ROW(SolCotizacion!#REF!))</f>
        <v>1</v>
      </c>
      <c r="AJI10" s="316" t="str">
        <f>+SolCotizacion!$I$28</f>
        <v>min03-P1</v>
      </c>
      <c r="AJJ10" s="316"/>
      <c r="AJK10" s="316"/>
      <c r="AJL10" s="321" t="str">
        <f>+SolCotizacion!$L$28</f>
        <v>BOTA DE COMBATE MEDIA CAÑA EN CUERO SISTEMA VULCANIZADO E INYECCIÓN DIRECTA_según NTMD vigente</v>
      </c>
      <c r="AJM10" s="321"/>
      <c r="AJN10" s="321"/>
      <c r="AJO10" s="321"/>
      <c r="AJP10" s="321"/>
      <c r="AJQ10" s="321"/>
      <c r="AJR10" s="321"/>
      <c r="AJS10" s="321"/>
      <c r="AJT10" s="321"/>
      <c r="AJU10" s="321"/>
      <c r="AJV10" s="321"/>
      <c r="AJW10" s="322">
        <v>145</v>
      </c>
      <c r="AJX10" s="322"/>
      <c r="AJY10" s="322"/>
      <c r="AJZ10" s="314">
        <f>+IFERROR(ROUND(VLOOKUP(AJH10&amp;"_"&amp;AJI10,Cat_resumido!$C:$DE,Var!$F$2-2,FALSE)/AJW10,2),"")</f>
        <v>404055</v>
      </c>
      <c r="AKA10" s="314"/>
      <c r="AKB10" s="314"/>
      <c r="AKC10" s="314">
        <f ca="1">+IFERROR(ROUND(AJZ10/(1-Var!$F$3),0),"")</f>
        <v>408136</v>
      </c>
      <c r="AKD10" s="314"/>
      <c r="AKE10" s="314"/>
      <c r="AKF10" s="323">
        <f ca="1">IFERROR(ROUND(AJW10*AKC10,2),"")</f>
        <v>59179720</v>
      </c>
      <c r="AKG10" s="324"/>
      <c r="AKH10" s="324"/>
      <c r="AKI10" s="325"/>
      <c r="AKR10" s="155">
        <f>IFERROR(IF(AKR9="Ítem",1,ROW()-ROW(SolCotizacion!#REF!)),ROW()-ROW(SolCotizacion!#REF!))</f>
        <v>1</v>
      </c>
      <c r="AKS10" s="316" t="str">
        <f>+SolCotizacion!$I$28</f>
        <v>min03-P1</v>
      </c>
      <c r="AKT10" s="316"/>
      <c r="AKU10" s="316"/>
      <c r="AKV10" s="477" t="str">
        <f>+SolCotizacion!$L$28</f>
        <v>BOTA DE COMBATE MEDIA CAÑA EN CUERO SISTEMA VULCANIZADO E INYECCIÓN DIRECTA_según NTMD vigente</v>
      </c>
      <c r="AKW10" s="478"/>
      <c r="AKX10" s="478"/>
      <c r="AKY10" s="478"/>
      <c r="AKZ10" s="478"/>
      <c r="ALA10" s="478"/>
      <c r="ALB10" s="478"/>
      <c r="ALC10" s="478"/>
      <c r="ALD10" s="478"/>
      <c r="ALE10" s="478"/>
      <c r="ALF10" s="478"/>
      <c r="ALG10" s="478"/>
      <c r="ALH10" s="478"/>
      <c r="ALI10" s="479"/>
      <c r="ALJ10" s="322">
        <v>1</v>
      </c>
      <c r="ALK10" s="322"/>
      <c r="ALL10" s="322"/>
      <c r="ALM10" s="314">
        <f>+IFERROR(ROUND(VLOOKUP(AKR10&amp;"_"&amp;AKS10,Cat_resumido!$C:$DE,Var!$F$2-2,FALSE)/1,2),"")</f>
        <v>58587975</v>
      </c>
      <c r="ALN10" s="314"/>
      <c r="ALO10" s="314"/>
      <c r="ALP10" s="323">
        <f ca="1">+IFERROR(ROUND(ALM10/(1-Var!$F$3),0),"")</f>
        <v>59179773</v>
      </c>
      <c r="ALQ10" s="324"/>
      <c r="ALR10" s="324"/>
      <c r="ALS10" s="325"/>
      <c r="AMV10" s="155" t="str">
        <f>+IFERROR(VLOOKUP(AOR10,Consolidacion_respuestas!$B:$BM,MATCH(AMV9,Consolidacion_respuestas!$33:$33,0)-1,FALSE),"")</f>
        <v/>
      </c>
      <c r="AMW10" s="316" t="str">
        <f>+IFERROR(VLOOKUP(AOR10,Consolidacion_respuestas!$B:$BM,MATCH(AMW9,Consolidacion_respuestas!$33:$33,0)-1,FALSE),"")</f>
        <v/>
      </c>
      <c r="AMX10" s="316" t="str">
        <f>+IFERROR(VLOOKUP($AOR10,Consolidacion_respuestas!$B:$BM,MATCH(Cuadros!AMX9,Consolidacion_respuestas!$33:$33,0)-1,FALSE),"")</f>
        <v/>
      </c>
      <c r="AMY10" s="316" t="str">
        <f>+IFERROR(VLOOKUP($AOR10,Consolidacion_respuestas!$B:$BM,MATCH(Cuadros!AMY9,Consolidacion_respuestas!$33:$33,0)-1,FALSE),"")</f>
        <v/>
      </c>
      <c r="AMZ10" s="321" t="str">
        <f>+IFERROR(VLOOKUP(AOR10,Consolidacion_respuestas!$B:$BM,MATCH(AMZ9,Consolidacion_respuestas!$33:$33,0)-1,FALSE),"")</f>
        <v/>
      </c>
      <c r="ANA10" s="321" t="str">
        <f>+IFERROR(VLOOKUP($AOR10,Consolidacion_respuestas!$B:$BM,MATCH(Cuadros!ANA9,Consolidacion_respuestas!$33:$33,0)-1,FALSE),"")</f>
        <v/>
      </c>
      <c r="ANB10" s="321" t="str">
        <f>+IFERROR(VLOOKUP($AOR10,Consolidacion_respuestas!$B:$BM,MATCH(Cuadros!ANB9,Consolidacion_respuestas!$33:$33,0)-1,FALSE),"")</f>
        <v/>
      </c>
      <c r="ANC10" s="321" t="str">
        <f>+IFERROR(VLOOKUP($AOR10,Consolidacion_respuestas!$B:$BM,MATCH(Cuadros!ANC9,Consolidacion_respuestas!$33:$33,0)-1,FALSE),"")</f>
        <v/>
      </c>
      <c r="AND10" s="321" t="str">
        <f>+IFERROR(VLOOKUP($AOR10,Consolidacion_respuestas!$B:$BM,MATCH(Cuadros!AND9,Consolidacion_respuestas!$33:$33,0)-1,FALSE),"")</f>
        <v/>
      </c>
      <c r="ANE10" s="321" t="str">
        <f>+IFERROR(VLOOKUP($AOR10,Consolidacion_respuestas!$B:$BM,MATCH(Cuadros!ANE9,Consolidacion_respuestas!$33:$33,0)-1,FALSE),"")</f>
        <v/>
      </c>
      <c r="ANF10" s="321" t="str">
        <f>+IFERROR(VLOOKUP($AOR10,Consolidacion_respuestas!$B:$BM,MATCH(Cuadros!ANF9,Consolidacion_respuestas!$33:$33,0)-1,FALSE),"")</f>
        <v/>
      </c>
      <c r="ANG10" s="321" t="str">
        <f>+IFERROR(VLOOKUP($AOR10,Consolidacion_respuestas!$B:$BM,MATCH(Cuadros!ANG9,Consolidacion_respuestas!$33:$33,0)-1,FALSE),"")</f>
        <v/>
      </c>
      <c r="ANH10" s="321" t="str">
        <f>+IFERROR(VLOOKUP($AOR10,Consolidacion_respuestas!$B:$BM,MATCH(Cuadros!ANH9,Consolidacion_respuestas!$33:$33,0)-1,FALSE),"")</f>
        <v/>
      </c>
      <c r="ANI10" s="321" t="str">
        <f>+IFERROR(VLOOKUP($AOR10,Consolidacion_respuestas!$B:$BM,MATCH(Cuadros!ANI9,Consolidacion_respuestas!$33:$33,0)-1,FALSE),"")</f>
        <v/>
      </c>
      <c r="ANJ10" s="321" t="str">
        <f>+IFERROR(VLOOKUP($AOR10,Consolidacion_respuestas!$B:$BM,MATCH(Cuadros!ANJ9,Consolidacion_respuestas!$33:$33,0)-1,FALSE),"")</f>
        <v/>
      </c>
      <c r="ANK10" s="316" t="str">
        <f>+IFERROR(VLOOKUP(AOR10,Consolidacion_respuestas!$B:$BM,MATCH(ANK9,Consolidacion_respuestas!$33:$33,0)-1,FALSE),"")</f>
        <v/>
      </c>
      <c r="ANL10" s="316" t="str">
        <f>+IFERROR(VLOOKUP($AOR10,Consolidacion_respuestas!$B:$BM,MATCH(Cuadros!ANL9,Consolidacion_respuestas!$33:$33,0)-1,FALSE),"")</f>
        <v/>
      </c>
      <c r="ANM10" s="316" t="str">
        <f>+IFERROR(VLOOKUP($AOR10,Consolidacion_respuestas!$B:$BM,MATCH(Cuadros!ANM9,Consolidacion_respuestas!$33:$33,0)-1,FALSE),"")</f>
        <v/>
      </c>
      <c r="ANN10" s="314" t="str">
        <f>+IFERROR(VLOOKUP(AOR10,Consolidacion_respuestas!$B:$BM,MATCH(ANN9,Consolidacion_respuestas!$33:$33,0)-1,FALSE),"")</f>
        <v/>
      </c>
      <c r="ANO10" s="314" t="str">
        <f>+IFERROR(VLOOKUP($AOR10,Consolidacion_respuestas!$B:$BM,MATCH(Cuadros!ANO9,Consolidacion_respuestas!$33:$33,0)-1,FALSE),"")</f>
        <v/>
      </c>
      <c r="ANP10" s="314" t="str">
        <f>+IFERROR(VLOOKUP($AOR10,Consolidacion_respuestas!$B:$BM,MATCH(Cuadros!ANP9,Consolidacion_respuestas!$33:$33,0)-1,FALSE),"")</f>
        <v/>
      </c>
      <c r="ANQ10" s="314" t="str">
        <f>+IFERROR(VLOOKUP(AOR10,Consolidacion_respuestas!$B:$BM,MATCH(ANQ9,Consolidacion_respuestas!$33:$33,0)-1,FALSE),"")</f>
        <v/>
      </c>
      <c r="ANR10" s="314" t="str">
        <f>+IFERROR(VLOOKUP($AOR10,Consolidacion_respuestas!$B:$BM,MATCH(Cuadros!ANR9,Consolidacion_respuestas!$33:$33,0)-1,FALSE),"")</f>
        <v/>
      </c>
      <c r="ANS10" s="314"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314" t="str">
        <f>+IFERROR(VLOOKUP(AOR10,Consolidacion_respuestas!$B:$BM,MATCH(ANV9,Consolidacion_respuestas!$33:$33,0)-1,FALSE),"")</f>
        <v/>
      </c>
      <c r="ANW10" s="314" t="str">
        <f>+IFERROR(VLOOKUP($AOR10,Consolidacion_respuestas!$B:$BM,MATCH(Cuadros!ANW9,Consolidacion_respuestas!$33:$33,0)-1,FALSE),"")</f>
        <v/>
      </c>
      <c r="ANX10" s="314" t="str">
        <f>+IFERROR(VLOOKUP($AOR10,Consolidacion_respuestas!$B:$BM,MATCH(Cuadros!ANX9,Consolidacion_respuestas!$33:$33,0)-1,FALSE),"")</f>
        <v/>
      </c>
      <c r="ANY10" s="314" t="str">
        <f>+IFERROR(VLOOKUP(AOR10,Consolidacion_respuestas!$B:$BM,MATCH(ANY9,Consolidacion_respuestas!$33:$33,0)-1,FALSE),"")</f>
        <v/>
      </c>
      <c r="ANZ10" s="314" t="str">
        <f>+IFERROR(VLOOKUP($AOR10,Consolidacion_respuestas!$B:$BM,MATCH(Cuadros!ANZ9,Consolidacion_respuestas!$33:$33,0)-1,FALSE),"")</f>
        <v/>
      </c>
      <c r="AOA10" s="314" t="str">
        <f>+IFERROR(VLOOKUP($AOR10,Consolidacion_respuestas!$B:$BM,MATCH(Cuadros!AOA9,Consolidacion_respuestas!$33:$33,0)-1,FALSE),"")</f>
        <v/>
      </c>
      <c r="AOB10" s="321" t="str">
        <f>+IFERROR(VLOOKUP(AOR10,Consolidacion_respuestas!$B:$BM,MATCH(AOB9,Consolidacion_respuestas!$33:$33,0)-1,FALSE),"")</f>
        <v/>
      </c>
      <c r="AOC10" s="321"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314" t="str">
        <f>+IFERROR(VLOOKUP(AOR10,Consolidacion_respuestas!$B:$BM,MATCH(AOF9,Consolidacion_respuestas!$33:$33,0)-1,FALSE),"")</f>
        <v/>
      </c>
      <c r="AOG10" s="314" t="str">
        <f>+IFERROR(VLOOKUP($AOR10,Consolidacion_respuestas!$B:$BM,MATCH(Cuadros!AOG9,Consolidacion_respuestas!$33:$33,0)-1,FALSE),"")</f>
        <v/>
      </c>
      <c r="AOH10" s="314" t="str">
        <f>+IFERROR(VLOOKUP($AOR10,Consolidacion_respuestas!$B:$BM,MATCH(Cuadros!AOH9,Consolidacion_respuestas!$33:$33,0)-1,FALSE),"")</f>
        <v/>
      </c>
      <c r="AOI10" s="314" t="str">
        <f>+IFERROR(VLOOKUP(AOR10,Consolidacion_respuestas!$B:$BM,MATCH(AOI9,Consolidacion_respuestas!$33:$33,0)-1,FALSE),"")</f>
        <v/>
      </c>
      <c r="AOJ10" s="314" t="str">
        <f>+IFERROR(VLOOKUP($AOR10,Consolidacion_respuestas!$B:$BM,MATCH(Cuadros!AOJ9,Consolidacion_respuestas!$33:$33,0)-1,FALSE),"")</f>
        <v/>
      </c>
      <c r="AOK10" s="314" t="str">
        <f>+IFERROR(VLOOKUP($AOR10,Consolidacion_respuestas!$B:$BM,MATCH(Cuadros!AOK9,Consolidacion_respuestas!$33:$33,0)-1,FALSE),"")</f>
        <v/>
      </c>
      <c r="AOL10" s="316" t="str">
        <f>+IFERROR(VLOOKUP(AOR10,Consolidacion_respuestas!$B:$BM,MATCH(AOL9,Consolidacion_respuestas!$33:$33,0)-1,FALSE),"")</f>
        <v/>
      </c>
      <c r="AOM10" s="316" t="str">
        <f>+IFERROR(VLOOKUP($AOR10,Consolidacion_respuestas!$B:$BM,MATCH(Cuadros!AOM9,Consolidacion_respuestas!$33:$33,0)-1,FALSE),"")</f>
        <v/>
      </c>
      <c r="AON10" s="316" t="str">
        <f>+IFERROR(VLOOKUP($AOR10,Consolidacion_respuestas!$B:$BM,MATCH(Cuadros!AON9,Consolidacion_respuestas!$33:$33,0)-1,FALSE),"")</f>
        <v/>
      </c>
      <c r="AOO10" s="321" t="str">
        <f>+IFERROR(VLOOKUP(AOR10,Consolidacion_respuestas!$B:$BM,MATCH(AOO9,Consolidacion_respuestas!$33:$33,0)-1,FALSE),"")</f>
        <v/>
      </c>
      <c r="AOP10" s="321" t="str">
        <f>+IFERROR(VLOOKUP($AOR10,Consolidacion_respuestas!$B:$BM,MATCH(Cuadros!AOP9,Consolidacion_respuestas!$33:$33,0)-1,FALSE),"")</f>
        <v/>
      </c>
      <c r="AOQ10" s="321"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65" t="str">
        <f>"Versión:" &amp; Var!$F$10</f>
        <v>Versión:7        05/02/2026</v>
      </c>
      <c r="FT11" s="265"/>
      <c r="FU11" s="265"/>
      <c r="FV11" s="265"/>
      <c r="FW11" s="265"/>
      <c r="FX11" s="265"/>
      <c r="FY11" s="261" t="str">
        <f>+Var!$F$21</f>
        <v>Material de Intendencia III</v>
      </c>
      <c r="FZ11" s="261"/>
      <c r="GA11" s="261"/>
      <c r="GB11" s="261"/>
      <c r="GC11" s="261"/>
      <c r="GD11" s="261"/>
      <c r="GE11" s="261"/>
      <c r="GF11" s="261"/>
      <c r="GG11" s="261"/>
      <c r="GH11" s="261"/>
      <c r="GI11" s="261"/>
      <c r="GJ11" s="261"/>
      <c r="GK11" s="261"/>
      <c r="GL11" s="261"/>
      <c r="GM11" s="261"/>
      <c r="GN11" s="261"/>
      <c r="GO11" s="60"/>
      <c r="GP11" s="60"/>
      <c r="GQ11" s="60"/>
      <c r="GR11" s="60"/>
      <c r="GS11" s="60"/>
      <c r="GT11" s="60"/>
      <c r="GU11" s="53"/>
      <c r="GV11" s="53"/>
      <c r="GW11" s="53"/>
      <c r="GX11" s="53"/>
      <c r="GY11" s="53"/>
      <c r="GZ11" s="265" t="str">
        <f>"Versión:" &amp; Var!$F$10</f>
        <v>Versión:7        05/02/2026</v>
      </c>
      <c r="HA11" s="265"/>
      <c r="HB11" s="265"/>
      <c r="HC11" s="265"/>
      <c r="HD11" s="265"/>
      <c r="HE11" s="265"/>
      <c r="HF11" s="261" t="str">
        <f>+Var!$F$21</f>
        <v>Material de Intendencia III</v>
      </c>
      <c r="HG11" s="261"/>
      <c r="HH11" s="261"/>
      <c r="HI11" s="261"/>
      <c r="HJ11" s="261"/>
      <c r="HK11" s="261"/>
      <c r="HL11" s="261"/>
      <c r="HM11" s="261"/>
      <c r="HN11" s="261"/>
      <c r="HO11" s="261"/>
      <c r="HP11" s="261"/>
      <c r="HQ11" s="261"/>
      <c r="HR11" s="261"/>
      <c r="HS11" s="261"/>
      <c r="HT11" s="261"/>
      <c r="HU11" s="261"/>
      <c r="HV11" s="60"/>
      <c r="HW11" s="60"/>
      <c r="HX11" s="60"/>
      <c r="HY11" s="60"/>
      <c r="HZ11" s="60"/>
      <c r="IA11" s="60"/>
      <c r="IB11" s="53"/>
      <c r="IC11" s="53"/>
      <c r="ID11" s="53"/>
      <c r="IE11" s="53"/>
      <c r="IF11" s="53"/>
      <c r="IG11" s="265" t="str">
        <f>"Versión:" &amp; Var!$F$10</f>
        <v>Versión:7        05/02/2026</v>
      </c>
      <c r="IH11" s="265"/>
      <c r="II11" s="265"/>
      <c r="IJ11" s="265"/>
      <c r="IK11" s="265"/>
      <c r="IL11" s="265"/>
      <c r="IM11" s="261" t="str">
        <f>+Var!$F$21</f>
        <v>Material de Intendencia III</v>
      </c>
      <c r="IN11" s="261"/>
      <c r="IO11" s="261"/>
      <c r="IP11" s="261"/>
      <c r="IQ11" s="261"/>
      <c r="IR11" s="261"/>
      <c r="IS11" s="261"/>
      <c r="IT11" s="261"/>
      <c r="IU11" s="261"/>
      <c r="IV11" s="261"/>
      <c r="IW11" s="261"/>
      <c r="IX11" s="261"/>
      <c r="IY11" s="261"/>
      <c r="IZ11" s="261"/>
      <c r="JA11" s="261"/>
      <c r="JB11" s="261"/>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05" t="s">
        <v>1325</v>
      </c>
      <c r="NI11" s="205"/>
      <c r="NJ11" s="205"/>
      <c r="NK11" s="314">
        <f ca="1">+NK10+NK9</f>
        <v>0</v>
      </c>
      <c r="NL11" s="314"/>
      <c r="NM11" s="314"/>
      <c r="NN11" s="314"/>
      <c r="NV11" s="205" t="s">
        <v>3923</v>
      </c>
      <c r="NW11" s="205"/>
      <c r="NX11" s="205"/>
      <c r="NY11" s="314">
        <f ca="1">+NY10+NY9</f>
        <v>0</v>
      </c>
      <c r="NZ11" s="314"/>
      <c r="OA11" s="314"/>
      <c r="OB11" s="314"/>
      <c r="OC11"/>
      <c r="OD11"/>
      <c r="OE11"/>
      <c r="OF11"/>
      <c r="OG11"/>
      <c r="OH11"/>
      <c r="OI11"/>
      <c r="OJ11"/>
      <c r="OK11"/>
      <c r="OL11"/>
      <c r="OM11"/>
      <c r="PN11"/>
      <c r="PO11"/>
      <c r="PP11"/>
      <c r="PQ11"/>
      <c r="PR11"/>
      <c r="PS11"/>
      <c r="PT11"/>
      <c r="PU11"/>
      <c r="PV11"/>
      <c r="PW11"/>
      <c r="PX11"/>
      <c r="QY11"/>
      <c r="QZ11"/>
      <c r="RA11"/>
      <c r="TC11" s="211"/>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205" t="s">
        <v>1325</v>
      </c>
      <c r="ACR11" s="205"/>
      <c r="ACS11" s="205"/>
      <c r="ACT11" s="314">
        <f>+ACT10+ACT9</f>
        <v>0</v>
      </c>
      <c r="ACU11" s="314"/>
      <c r="ACV11" s="314"/>
      <c r="ACW11" s="314"/>
    </row>
    <row r="12" spans="1:1090" ht="30" customHeight="1" thickBot="1">
      <c r="FS12" s="266"/>
      <c r="FT12" s="266"/>
      <c r="FU12" s="266"/>
      <c r="FV12" s="266"/>
      <c r="FW12" s="266"/>
      <c r="FX12" s="266"/>
      <c r="FY12" s="261"/>
      <c r="FZ12" s="261"/>
      <c r="GA12" s="261"/>
      <c r="GB12" s="261"/>
      <c r="GC12" s="261"/>
      <c r="GD12" s="261"/>
      <c r="GE12" s="261"/>
      <c r="GF12" s="261"/>
      <c r="GG12" s="261"/>
      <c r="GH12" s="261"/>
      <c r="GI12" s="261"/>
      <c r="GJ12" s="261"/>
      <c r="GK12" s="261"/>
      <c r="GL12" s="261"/>
      <c r="GM12" s="261"/>
      <c r="GN12" s="261"/>
      <c r="GO12" s="60"/>
      <c r="GP12" s="60"/>
      <c r="GQ12" s="60"/>
      <c r="GR12" s="60"/>
      <c r="GS12" s="60"/>
      <c r="GT12" s="60"/>
      <c r="GU12" s="53"/>
      <c r="GV12" s="53"/>
      <c r="GW12" s="53"/>
      <c r="GX12" s="53"/>
      <c r="GY12" s="53"/>
      <c r="GZ12" s="266"/>
      <c r="HA12" s="266"/>
      <c r="HB12" s="266"/>
      <c r="HC12" s="266"/>
      <c r="HD12" s="266"/>
      <c r="HE12" s="266"/>
      <c r="HF12" s="261"/>
      <c r="HG12" s="261"/>
      <c r="HH12" s="261"/>
      <c r="HI12" s="261"/>
      <c r="HJ12" s="261"/>
      <c r="HK12" s="261"/>
      <c r="HL12" s="261"/>
      <c r="HM12" s="261"/>
      <c r="HN12" s="261"/>
      <c r="HO12" s="261"/>
      <c r="HP12" s="261"/>
      <c r="HQ12" s="261"/>
      <c r="HR12" s="261"/>
      <c r="HS12" s="261"/>
      <c r="HT12" s="261"/>
      <c r="HU12" s="261"/>
      <c r="HV12" s="60"/>
      <c r="HW12" s="60"/>
      <c r="HX12" s="60"/>
      <c r="HY12" s="60"/>
      <c r="HZ12" s="60"/>
      <c r="IA12" s="60"/>
      <c r="IB12" s="53"/>
      <c r="IC12" s="53"/>
      <c r="ID12" s="53"/>
      <c r="IE12" s="53"/>
      <c r="IF12" s="53"/>
      <c r="IG12" s="266"/>
      <c r="IH12" s="266"/>
      <c r="II12" s="266"/>
      <c r="IJ12" s="266"/>
      <c r="IK12" s="266"/>
      <c r="IL12" s="266"/>
      <c r="IM12" s="261"/>
      <c r="IN12" s="261"/>
      <c r="IO12" s="261"/>
      <c r="IP12" s="261"/>
      <c r="IQ12" s="261"/>
      <c r="IR12" s="261"/>
      <c r="IS12" s="261"/>
      <c r="IT12" s="261"/>
      <c r="IU12" s="261"/>
      <c r="IV12" s="261"/>
      <c r="IW12" s="261"/>
      <c r="IX12" s="261"/>
      <c r="IY12" s="261"/>
      <c r="IZ12" s="261"/>
      <c r="JA12" s="261"/>
      <c r="JB12" s="261"/>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205" t="s">
        <v>3928</v>
      </c>
      <c r="NW12" s="205"/>
      <c r="NX12" s="205"/>
      <c r="NY12" s="459" t="str">
        <f ca="1">+IFERROR(ROUND(ResCotizacion!$AE$22/NY11,0),"")</f>
        <v/>
      </c>
      <c r="NZ12" s="460"/>
      <c r="OA12" s="460"/>
      <c r="OB12" s="461"/>
      <c r="TC12" s="212"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62" t="s">
        <v>3909</v>
      </c>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Z13" s="262" t="s">
        <v>3909</v>
      </c>
      <c r="HA13" s="262"/>
      <c r="HB13" s="262"/>
      <c r="HC13" s="262"/>
      <c r="HD13" s="262"/>
      <c r="HE13" s="262"/>
      <c r="HF13" s="262"/>
      <c r="HG13" s="262"/>
      <c r="HH13" s="262"/>
      <c r="HI13" s="262"/>
      <c r="HJ13" s="262"/>
      <c r="HK13" s="262"/>
      <c r="HL13" s="262"/>
      <c r="HM13" s="262"/>
      <c r="HN13" s="262"/>
      <c r="HO13" s="262"/>
      <c r="HP13" s="262"/>
      <c r="HQ13" s="262"/>
      <c r="HR13" s="262"/>
      <c r="HS13" s="262"/>
      <c r="HT13" s="262"/>
      <c r="HU13" s="262"/>
      <c r="HV13" s="262"/>
      <c r="HW13" s="262"/>
      <c r="HX13" s="262"/>
      <c r="HY13" s="262"/>
      <c r="HZ13" s="262"/>
      <c r="IA13" s="262"/>
      <c r="IG13" s="262" t="s">
        <v>3909</v>
      </c>
      <c r="IH13" s="262"/>
      <c r="II13" s="262"/>
      <c r="IJ13" s="262"/>
      <c r="IK13" s="262"/>
      <c r="IL13" s="262"/>
      <c r="IM13" s="262"/>
      <c r="IN13" s="262"/>
      <c r="IO13" s="262"/>
      <c r="IP13" s="262"/>
      <c r="IQ13" s="262"/>
      <c r="IR13" s="262"/>
      <c r="IS13" s="262"/>
      <c r="IT13" s="262"/>
      <c r="IU13" s="262"/>
      <c r="IV13" s="262"/>
      <c r="IW13" s="262"/>
      <c r="IX13" s="262"/>
      <c r="IY13" s="262"/>
      <c r="IZ13" s="262"/>
      <c r="JA13" s="262"/>
      <c r="JB13" s="262"/>
      <c r="JC13" s="262"/>
      <c r="JD13" s="262"/>
      <c r="JE13" s="262"/>
      <c r="JF13" s="262"/>
      <c r="JG13" s="262"/>
      <c r="JH13" s="262"/>
      <c r="TC13" s="213"/>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20"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2"/>
      <c r="UR14" s="192"/>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20"/>
    </row>
    <row r="16" spans="1:1090">
      <c r="TC16" s="220" t="s">
        <v>259</v>
      </c>
      <c r="VK16" t="s">
        <v>1395</v>
      </c>
    </row>
    <row r="17" spans="1:583">
      <c r="TC17" s="220"/>
      <c r="VK17" t="s">
        <v>1396</v>
      </c>
    </row>
    <row r="18" spans="1:583">
      <c r="TC18" s="206" t="s">
        <v>164</v>
      </c>
      <c r="VK18" t="s">
        <v>1397</v>
      </c>
    </row>
    <row r="19" spans="1:583">
      <c r="A19">
        <f>+ROUND(A21,0)</f>
        <v>45</v>
      </c>
      <c r="TC19" s="206"/>
    </row>
    <row r="20" spans="1:583" ht="14.25" customHeight="1">
      <c r="TC20" s="234" t="s">
        <v>165</v>
      </c>
    </row>
    <row r="21" spans="1:583">
      <c r="A21">
        <v>45.384512000000001</v>
      </c>
      <c r="TC21" s="213"/>
    </row>
    <row r="22" spans="1:583">
      <c r="A22">
        <v>12</v>
      </c>
      <c r="TC22" s="206" t="s">
        <v>166</v>
      </c>
    </row>
    <row r="23" spans="1:583">
      <c r="TC23" s="206"/>
    </row>
    <row r="24" spans="1:583">
      <c r="TC24" s="234" t="s">
        <v>167</v>
      </c>
    </row>
    <row r="25" spans="1:583">
      <c r="A25">
        <f>+A22*A21</f>
        <v>544.61414400000001</v>
      </c>
      <c r="TC25" s="213"/>
    </row>
    <row r="26" spans="1:583">
      <c r="A26">
        <f>+A25/A22</f>
        <v>45.384512000000001</v>
      </c>
      <c r="TC26" s="206" t="s">
        <v>1366</v>
      </c>
    </row>
    <row r="27" spans="1:583">
      <c r="TC27" s="207"/>
    </row>
  </sheetData>
  <sheetProtection algorithmName="SHA-512" hashValue="bjfHsQ+UMDcAS1jaXs5r0UN9S/hUYcg/xY1vHii0twUenq89cBrJub2G/koM6C4inl7Y/4onA+pu69qu2TSPDA==" saltValue="pzdcYfyhPQalStgmR9oCiw=="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LLpWftHqsd00loVhDCaakHWnoX8OBmfkl3mTqLBh+4boKhtvx2xnO7d8w1nKCo1RmyDnYS2V5AeQsWYIxD/tvw==" saltValue="BiDFDUid/hzvnlyFmZTRaQ=="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G17"/>
  <sheetViews>
    <sheetView workbookViewId="0"/>
  </sheetViews>
  <sheetFormatPr baseColWidth="10" defaultRowHeight="14.25"/>
  <sheetData>
    <row r="1" spans="1:7">
      <c r="A1" t="s">
        <v>3136</v>
      </c>
      <c r="B1" t="s">
        <v>3138</v>
      </c>
      <c r="C1" t="s">
        <v>3139</v>
      </c>
      <c r="D1" t="s">
        <v>3141</v>
      </c>
      <c r="E1" t="s">
        <v>3143</v>
      </c>
      <c r="F1" t="s">
        <v>3145</v>
      </c>
      <c r="G1" t="s">
        <v>3146</v>
      </c>
    </row>
    <row r="2" spans="1:7">
      <c r="A2" t="s">
        <v>8693</v>
      </c>
      <c r="B2">
        <v>34</v>
      </c>
      <c r="C2" t="s">
        <v>8695</v>
      </c>
      <c r="D2" t="s">
        <v>8697</v>
      </c>
      <c r="E2" t="s">
        <v>8699</v>
      </c>
      <c r="F2" t="s">
        <v>8693</v>
      </c>
      <c r="G2" t="s">
        <v>8693</v>
      </c>
    </row>
    <row r="3" spans="1:7">
      <c r="A3" t="s">
        <v>8694</v>
      </c>
      <c r="B3">
        <v>35</v>
      </c>
      <c r="C3" t="s">
        <v>8696</v>
      </c>
      <c r="D3" t="s">
        <v>8698</v>
      </c>
      <c r="E3" t="s">
        <v>8700</v>
      </c>
      <c r="F3" t="s">
        <v>8694</v>
      </c>
      <c r="G3" t="s">
        <v>8694</v>
      </c>
    </row>
    <row r="4" spans="1:7">
      <c r="B4">
        <v>36</v>
      </c>
    </row>
    <row r="5" spans="1:7">
      <c r="B5">
        <v>37</v>
      </c>
    </row>
    <row r="6" spans="1:7">
      <c r="B6">
        <v>38</v>
      </c>
    </row>
    <row r="7" spans="1:7">
      <c r="B7">
        <v>39</v>
      </c>
    </row>
    <row r="8" spans="1:7">
      <c r="B8">
        <v>40</v>
      </c>
    </row>
    <row r="9" spans="1:7">
      <c r="B9">
        <v>41</v>
      </c>
    </row>
    <row r="10" spans="1:7">
      <c r="B10">
        <v>42</v>
      </c>
    </row>
    <row r="11" spans="1:7">
      <c r="B11">
        <v>43</v>
      </c>
    </row>
    <row r="12" spans="1:7">
      <c r="B12">
        <v>44</v>
      </c>
    </row>
    <row r="13" spans="1:7">
      <c r="B13">
        <v>45</v>
      </c>
    </row>
    <row r="14" spans="1:7">
      <c r="B14">
        <v>46</v>
      </c>
    </row>
    <row r="15" spans="1:7">
      <c r="B15">
        <v>47</v>
      </c>
    </row>
    <row r="16" spans="1:7">
      <c r="B16">
        <v>48</v>
      </c>
    </row>
    <row r="17" spans="2:2">
      <c r="B17">
        <v>49</v>
      </c>
    </row>
  </sheetData>
  <sheetProtection algorithmName="SHA-512" hashValue="nsaQjuv2EucQuzVDtsF5uKvSVVMjDVr/0Zy2eFkg1c0aw6DOYqDFul9I2AJm6ki40b0HqkaZhEKmVgevOPP+6A==" saltValue="hbhtiEWVSFoZak6U+Sywv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11</v>
      </c>
      <c r="G2" t="s">
        <v>1335</v>
      </c>
      <c r="P2" t="s">
        <v>4223</v>
      </c>
      <c r="AF2" t="s">
        <v>171</v>
      </c>
      <c r="AG2" t="s">
        <v>173</v>
      </c>
    </row>
    <row r="3" spans="1:33">
      <c r="A3" t="s">
        <v>3909</v>
      </c>
      <c r="E3" t="s">
        <v>1336</v>
      </c>
      <c r="F3" s="51">
        <f ca="1">+SolCotizacion!$AE$71</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12</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4160</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145</v>
      </c>
    </row>
    <row r="19" spans="1:7">
      <c r="A19" t="s">
        <v>3909</v>
      </c>
      <c r="E19" t="s">
        <v>3929</v>
      </c>
      <c r="F19" s="153">
        <v>145</v>
      </c>
      <c r="G19" t="s">
        <v>3930</v>
      </c>
    </row>
    <row r="20" spans="1:7">
      <c r="A20" t="s">
        <v>3909</v>
      </c>
      <c r="E20" t="s">
        <v>3948</v>
      </c>
      <c r="F20" t="s">
        <v>4043</v>
      </c>
    </row>
    <row r="21" spans="1:7">
      <c r="A21" t="s">
        <v>3909</v>
      </c>
      <c r="E21" t="s">
        <v>4062</v>
      </c>
      <c r="F21" t="s">
        <v>3909</v>
      </c>
    </row>
  </sheetData>
  <sheetProtection algorithmName="SHA-512" hashValue="TtoKxazqPAhcsN2T2DvNCzoT6cllV0ArwIetnAaKKxXvWatnG0/guKyb50ZjzNBxo98+qXATj/5JyNEdkWe7Gg==" saltValue="5gtYf+7OF0JEaN1iMCUPqg=="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dqPUc9qlxbn+CTx7PZYWx6/Fn61L6Z0coC0LHiCBTmBqQhImWIZua3J+zxDOnWRNUuhfK0wnj5W30o0ezbT3Gw==" saltValue="WFOQIqDqRN2NWJa29e8CLA=="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63484625</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akxv3odDB0jJxiDkkfBTzGzPJ/0fu0i0fj6vuGCZQpD4wYe6WO5Mr7K5y6pZ9acjThg5dm0xSHqoOkBnjl78ig==" saltValue="UhMxEMQYolJETzWqcnGeCw=="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od75af7gEc5zZya1xvaLJ2Ze9LCvK6wZkYru3SCYXfBGkrXVGl4/KnhAzQQtYxM0qjW4oliaXUZv84hg5DTeBw==" saltValue="Zqd1qauDjWL8MU3V+8whQ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t/om/dVuQH1L4HZ+AGXNQtrpIQ5UdDP/ldwTxZttvKrfMAmC5oL66NK9NPlG6razQ65emZsluURDeOjkXF8N7A==" saltValue="4epu1LTHZHdNpCuplVnarg=="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npRrjOSbW0GqAtH+F6weK7GWTh9uFjvk3HmOnccFjuO5I4FM1SzJElTJqsPUZAJFJwY/E1yZhTUQTpLkH9ZwfQ==" saltValue="Ljrn1wN90hEHcG+LbBlsig=="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63484625</v>
      </c>
      <c r="CI5" s="96" t="str">
        <f>+SolCotizacion!$X$22</f>
        <v>REGION 5</v>
      </c>
      <c r="CJ5">
        <v>1</v>
      </c>
      <c r="CL5" t="s">
        <v>1440</v>
      </c>
      <c r="CQ5" s="27"/>
      <c r="CS5" s="96" t="e">
        <f>+SolCotizacion!#REF!</f>
        <v>#REF!</v>
      </c>
      <c r="CT5" s="96">
        <f>+SolCotizacion!$AE$22</f>
        <v>63484625</v>
      </c>
      <c r="CU5" s="96" t="str">
        <f>+SolCotizacion!$X$22</f>
        <v>REGION 5</v>
      </c>
      <c r="CV5">
        <v>1</v>
      </c>
      <c r="CX5" t="s">
        <v>1888</v>
      </c>
      <c r="DC5" s="27" t="s">
        <v>1781</v>
      </c>
      <c r="DE5" s="96" t="e">
        <f>+SolCotizacion!#REF!</f>
        <v>#REF!</v>
      </c>
      <c r="DF5" s="96">
        <f>+SolCotizacion!$AE$22</f>
        <v>63484625</v>
      </c>
      <c r="DG5" s="96" t="str">
        <f>+SolCotizacion!$X$22</f>
        <v>REGION 5</v>
      </c>
      <c r="DH5" s="96" t="s">
        <v>1892</v>
      </c>
      <c r="DI5" s="96" t="s">
        <v>1891</v>
      </c>
      <c r="DJ5">
        <v>1</v>
      </c>
      <c r="DL5" t="s">
        <v>1890</v>
      </c>
      <c r="DQ5" t="s">
        <v>4160</v>
      </c>
      <c r="DS5" s="96" t="str">
        <f>"=min03-P1"</f>
        <v>=min03-P1</v>
      </c>
      <c r="DT5" s="96" t="str">
        <f>"=REGION 5"</f>
        <v>=REGION 5</v>
      </c>
      <c r="DU5" s="96" t="s">
        <v>8706</v>
      </c>
      <c r="DV5" s="96" t="s">
        <v>8707</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4164</v>
      </c>
      <c r="DS6" t="str">
        <f>"=min03-P1"</f>
        <v>=min03-P1</v>
      </c>
      <c r="DT6" t="str">
        <f>"=REGION 7"</f>
        <v>=REGION 7</v>
      </c>
      <c r="DU6" t="s">
        <v>8706</v>
      </c>
      <c r="DV6" t="s">
        <v>8707</v>
      </c>
      <c r="DW6">
        <v>1</v>
      </c>
      <c r="EG6" s="25"/>
      <c r="EH6" s="158"/>
    </row>
    <row r="7" spans="1:145">
      <c r="A7" s="25" t="s">
        <v>3109</v>
      </c>
      <c r="J7" t="s">
        <v>4089</v>
      </c>
      <c r="Y7" t="s">
        <v>1772</v>
      </c>
      <c r="AN7" t="s">
        <v>1884</v>
      </c>
      <c r="BA7" t="s">
        <v>1400</v>
      </c>
      <c r="BB7" t="s">
        <v>102</v>
      </c>
      <c r="BC7" t="s">
        <v>1501</v>
      </c>
      <c r="CE7" s="27"/>
      <c r="CQ7" s="27"/>
      <c r="DC7" s="27" t="s">
        <v>1783</v>
      </c>
      <c r="DQ7" t="s">
        <v>1851</v>
      </c>
    </row>
    <row r="8" spans="1:145">
      <c r="A8" s="25" t="s">
        <v>3113</v>
      </c>
      <c r="J8" t="s">
        <v>4090</v>
      </c>
      <c r="Y8" t="s">
        <v>1773</v>
      </c>
      <c r="AN8" t="s">
        <v>1885</v>
      </c>
      <c r="BA8" t="s">
        <v>1400</v>
      </c>
      <c r="BB8" t="s">
        <v>102</v>
      </c>
      <c r="BC8" t="s">
        <v>1559</v>
      </c>
      <c r="CE8" s="27"/>
      <c r="CQ8" s="27"/>
      <c r="DC8" s="27" t="s">
        <v>1784</v>
      </c>
      <c r="DQ8" t="s">
        <v>4165</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4166</v>
      </c>
    </row>
    <row r="10" spans="1:145">
      <c r="A10" s="25" t="s">
        <v>3111</v>
      </c>
      <c r="J10" t="s">
        <v>4068</v>
      </c>
      <c r="Y10" t="s">
        <v>1774</v>
      </c>
      <c r="BA10" t="s">
        <v>1400</v>
      </c>
      <c r="BB10" t="s">
        <v>102</v>
      </c>
      <c r="BC10" t="s">
        <v>1585</v>
      </c>
      <c r="CE10" s="27"/>
      <c r="CQ10" s="27"/>
      <c r="DC10" s="27" t="s">
        <v>1786</v>
      </c>
      <c r="DQ10" t="s">
        <v>4167</v>
      </c>
    </row>
    <row r="11" spans="1:145">
      <c r="A11" s="25" t="s">
        <v>3112</v>
      </c>
      <c r="J11" t="s">
        <v>4092</v>
      </c>
      <c r="Y11" t="s">
        <v>1775</v>
      </c>
      <c r="BA11" t="s">
        <v>1400</v>
      </c>
      <c r="BB11" t="s">
        <v>102</v>
      </c>
      <c r="BC11" t="s">
        <v>1534</v>
      </c>
      <c r="CE11" s="27"/>
      <c r="CQ11" s="27"/>
      <c r="DC11" s="27" t="s">
        <v>1787</v>
      </c>
      <c r="DQ11" t="s">
        <v>3086</v>
      </c>
    </row>
    <row r="12" spans="1:145">
      <c r="A12" s="25"/>
      <c r="J12" t="s">
        <v>4093</v>
      </c>
      <c r="Y12" t="s">
        <v>1829</v>
      </c>
      <c r="CE12" s="27"/>
      <c r="CQ12" s="27"/>
      <c r="DC12" s="27" t="s">
        <v>1788</v>
      </c>
      <c r="DQ12" t="s">
        <v>3087</v>
      </c>
    </row>
    <row r="13" spans="1:145">
      <c r="J13" t="s">
        <v>4094</v>
      </c>
      <c r="Y13" t="s">
        <v>1836</v>
      </c>
      <c r="CE13" s="27"/>
      <c r="CQ13" s="27"/>
      <c r="DC13" s="27" t="s">
        <v>1789</v>
      </c>
      <c r="DQ13" t="s">
        <v>4168</v>
      </c>
    </row>
    <row r="14" spans="1:145">
      <c r="J14" t="s">
        <v>4095</v>
      </c>
      <c r="Y14" t="s">
        <v>1840</v>
      </c>
      <c r="CE14" s="27"/>
      <c r="CQ14" s="27"/>
      <c r="DC14" s="27" t="s">
        <v>1790</v>
      </c>
    </row>
    <row r="15" spans="1:145">
      <c r="J15" t="s">
        <v>4096</v>
      </c>
      <c r="Y15" t="s">
        <v>1841</v>
      </c>
      <c r="CE15" s="27"/>
      <c r="CQ15" s="27"/>
      <c r="DC15" s="27" t="s">
        <v>1791</v>
      </c>
    </row>
    <row r="16" spans="1:145">
      <c r="J16" t="s">
        <v>4097</v>
      </c>
      <c r="Y16" t="s">
        <v>1848</v>
      </c>
      <c r="CE16" s="27"/>
      <c r="CQ16" s="27"/>
      <c r="DC16" s="27" t="s">
        <v>1792</v>
      </c>
    </row>
    <row r="17" spans="10:107">
      <c r="J17" t="s">
        <v>4098</v>
      </c>
      <c r="Y17" t="s">
        <v>1849</v>
      </c>
      <c r="CE17" s="27"/>
      <c r="CQ17" s="27"/>
      <c r="DC17" s="27" t="s">
        <v>1793</v>
      </c>
    </row>
    <row r="18" spans="10:107">
      <c r="J18" t="s">
        <v>4099</v>
      </c>
      <c r="Y18" t="s">
        <v>1842</v>
      </c>
      <c r="CE18" s="27"/>
      <c r="CQ18" s="27"/>
      <c r="DC18" s="27" t="s">
        <v>1794</v>
      </c>
    </row>
    <row r="19" spans="10:107">
      <c r="J19" t="s">
        <v>4100</v>
      </c>
      <c r="Y19" t="s">
        <v>1843</v>
      </c>
      <c r="CE19" s="27"/>
      <c r="CQ19" s="27"/>
      <c r="DC19" s="27" t="s">
        <v>1795</v>
      </c>
    </row>
    <row r="20" spans="10:107">
      <c r="J20" t="s">
        <v>4101</v>
      </c>
      <c r="Y20" t="s">
        <v>1776</v>
      </c>
      <c r="CE20" s="27"/>
      <c r="CQ20" s="27"/>
      <c r="DC20" s="27" t="s">
        <v>1796</v>
      </c>
    </row>
    <row r="21" spans="10:107">
      <c r="J21" t="s">
        <v>4102</v>
      </c>
      <c r="Y21" t="s">
        <v>1777</v>
      </c>
      <c r="CE21" s="27"/>
      <c r="CQ21" s="27"/>
      <c r="DC21" s="27" t="s">
        <v>1797</v>
      </c>
    </row>
    <row r="22" spans="10:107">
      <c r="J22" t="s">
        <v>4103</v>
      </c>
      <c r="Y22" t="s">
        <v>1837</v>
      </c>
      <c r="CE22" s="27"/>
      <c r="CQ22" s="27"/>
      <c r="DC22" s="27" t="s">
        <v>1798</v>
      </c>
    </row>
    <row r="23" spans="10:107">
      <c r="J23" t="s">
        <v>4104</v>
      </c>
      <c r="Y23" t="s">
        <v>1838</v>
      </c>
      <c r="BE23" t="str">
        <f>+IF(BE22="Software General",BE22,"")</f>
        <v/>
      </c>
      <c r="BF23" t="str">
        <f>+IF(BE23&lt;&gt;"",BE23,"")</f>
        <v/>
      </c>
      <c r="CE23" s="27"/>
      <c r="CQ23" s="27"/>
      <c r="DC23" s="27" t="s">
        <v>1799</v>
      </c>
    </row>
    <row r="24" spans="10:107">
      <c r="J24" t="s">
        <v>4105</v>
      </c>
      <c r="Y24" t="s">
        <v>1844</v>
      </c>
      <c r="CE24" s="27"/>
      <c r="CQ24" s="27"/>
      <c r="DC24" s="27" t="s">
        <v>1800</v>
      </c>
    </row>
    <row r="25" spans="10:107">
      <c r="J25" t="s">
        <v>4106</v>
      </c>
      <c r="Y25" t="s">
        <v>1845</v>
      </c>
      <c r="CE25" s="27"/>
      <c r="CQ25" s="27"/>
      <c r="DC25" s="27" t="s">
        <v>1801</v>
      </c>
    </row>
    <row r="26" spans="10:107">
      <c r="J26" t="s">
        <v>4107</v>
      </c>
      <c r="Y26" t="s">
        <v>1778</v>
      </c>
      <c r="CE26" s="27"/>
      <c r="CQ26" s="27"/>
      <c r="DC26" s="27" t="s">
        <v>1802</v>
      </c>
    </row>
    <row r="27" spans="10:107">
      <c r="J27" t="s">
        <v>4108</v>
      </c>
      <c r="Y27" t="s">
        <v>1846</v>
      </c>
      <c r="CE27" s="27"/>
      <c r="CQ27" s="27"/>
      <c r="DC27" s="27" t="s">
        <v>1803</v>
      </c>
    </row>
    <row r="28" spans="10:107">
      <c r="J28" t="s">
        <v>4109</v>
      </c>
      <c r="Y28" t="s">
        <v>1779</v>
      </c>
      <c r="CE28" s="27"/>
      <c r="CQ28" s="27"/>
      <c r="DC28" s="27" t="s">
        <v>1804</v>
      </c>
    </row>
    <row r="29" spans="10:107">
      <c r="J29" t="s">
        <v>4110</v>
      </c>
      <c r="Y29" t="s">
        <v>1780</v>
      </c>
      <c r="CE29" s="27"/>
      <c r="CQ29" s="27"/>
      <c r="DC29" s="27" t="s">
        <v>1805</v>
      </c>
    </row>
    <row r="30" spans="10:107">
      <c r="J30" t="s">
        <v>4111</v>
      </c>
      <c r="Y30" t="s">
        <v>1830</v>
      </c>
      <c r="CE30" s="27"/>
      <c r="CQ30" s="27"/>
      <c r="DC30" s="27" t="s">
        <v>1806</v>
      </c>
    </row>
    <row r="31" spans="10:107">
      <c r="J31" t="s">
        <v>4112</v>
      </c>
      <c r="Y31" t="s">
        <v>1831</v>
      </c>
      <c r="CE31" s="27"/>
      <c r="CQ31" s="27"/>
      <c r="DC31" s="27" t="s">
        <v>1807</v>
      </c>
    </row>
    <row r="32" spans="10:107">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zNxNf3wk1uzzSAf7Vnv4zcGNRbi8ThRPkR8ZgLqTUskHMw7pRauZAq/8wDEb7me4kFsK7qdy0eJL3qMUnABOvw==" saltValue="LmBAI9bsLL848Mb9dtYM/Q=="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8"/>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AM66" sqref="AM6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60" t="s">
        <v>1387</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L1" s="33"/>
    </row>
    <row r="2" spans="1:38" ht="14.25" customHeight="1">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8" ht="14.25" customHeight="1">
      <c r="A3" s="62"/>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8" ht="14.25" customHeight="1">
      <c r="A4" s="63" t="s">
        <v>3949</v>
      </c>
      <c r="B4" s="32">
        <v>1</v>
      </c>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8" ht="13.9" hidden="1" customHeight="1">
      <c r="A5" s="209" t="s">
        <v>170</v>
      </c>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8" ht="14.25" customHeight="1">
      <c r="A6" s="210"/>
    </row>
    <row r="7" spans="1:38" ht="14.25" hidden="1" customHeight="1">
      <c r="A7" s="211"/>
    </row>
    <row r="8" spans="1:38" ht="14.25" hidden="1" customHeight="1">
      <c r="A8" s="212" t="s">
        <v>162</v>
      </c>
    </row>
    <row r="9" spans="1:38" ht="14.25" hidden="1" customHeight="1">
      <c r="A9" s="213"/>
    </row>
    <row r="10" spans="1:38" ht="27.95" customHeight="1">
      <c r="A10" s="219" t="s">
        <v>163</v>
      </c>
      <c r="F10" s="244" t="s">
        <v>105</v>
      </c>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row>
    <row r="11" spans="1:38" ht="4.5" customHeight="1">
      <c r="A11" s="219"/>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20" t="s">
        <v>259</v>
      </c>
      <c r="F12" s="214" t="s">
        <v>106</v>
      </c>
      <c r="G12" s="215"/>
      <c r="H12" s="215"/>
      <c r="I12" s="215"/>
      <c r="J12" s="216"/>
      <c r="K12" s="217" t="s">
        <v>8688</v>
      </c>
      <c r="L12" s="218"/>
      <c r="M12" s="218"/>
      <c r="N12" s="218"/>
      <c r="O12" s="218"/>
      <c r="P12" s="218"/>
      <c r="Q12" s="218"/>
      <c r="R12" s="218"/>
      <c r="S12" s="218"/>
      <c r="T12" s="235" t="s">
        <v>107</v>
      </c>
      <c r="U12" s="236"/>
      <c r="V12" s="236"/>
      <c r="W12" s="236"/>
      <c r="X12" s="236"/>
      <c r="Y12" s="263">
        <v>800130690</v>
      </c>
      <c r="Z12" s="263"/>
      <c r="AA12" s="263"/>
      <c r="AB12" s="263"/>
      <c r="AC12" s="263"/>
      <c r="AD12" s="263"/>
      <c r="AE12" s="263"/>
      <c r="AF12" s="263"/>
      <c r="AG12" s="263"/>
    </row>
    <row r="13" spans="1:38" ht="3.75" customHeight="1">
      <c r="A13" s="220"/>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06" t="s">
        <v>164</v>
      </c>
      <c r="F14" s="214" t="s">
        <v>108</v>
      </c>
      <c r="G14" s="215"/>
      <c r="H14" s="215"/>
      <c r="I14" s="215"/>
      <c r="J14" s="216"/>
      <c r="K14" s="217" t="s">
        <v>8689</v>
      </c>
      <c r="L14" s="218"/>
      <c r="M14" s="218"/>
      <c r="N14" s="218"/>
      <c r="O14" s="218"/>
      <c r="P14" s="218"/>
      <c r="Q14" s="218"/>
      <c r="R14" s="218"/>
      <c r="S14" s="218"/>
      <c r="T14" s="214" t="s">
        <v>156</v>
      </c>
      <c r="U14" s="215"/>
      <c r="V14" s="215"/>
      <c r="W14" s="215"/>
      <c r="X14" s="215"/>
      <c r="Y14" s="264" t="s">
        <v>2866</v>
      </c>
      <c r="Z14" s="264"/>
      <c r="AA14" s="264"/>
      <c r="AB14" s="264"/>
      <c r="AC14" s="264"/>
      <c r="AD14" s="264"/>
      <c r="AE14" s="264"/>
      <c r="AF14" s="264"/>
      <c r="AG14" s="264"/>
    </row>
    <row r="15" spans="1:38" ht="2.25" customHeight="1">
      <c r="A15" s="206"/>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34" t="s">
        <v>165</v>
      </c>
      <c r="F16" s="235" t="s">
        <v>110</v>
      </c>
      <c r="G16" s="236"/>
      <c r="H16" s="236"/>
      <c r="I16" s="236"/>
      <c r="J16" s="236"/>
      <c r="K16" s="217" t="s">
        <v>8690</v>
      </c>
      <c r="L16" s="218"/>
      <c r="M16" s="218"/>
      <c r="N16" s="218"/>
      <c r="O16" s="218"/>
      <c r="P16" s="218"/>
      <c r="Q16" s="218"/>
      <c r="R16" s="218"/>
      <c r="S16" s="218"/>
      <c r="T16" s="242" t="s">
        <v>109</v>
      </c>
      <c r="U16" s="243"/>
      <c r="V16" s="243"/>
      <c r="W16" s="243"/>
      <c r="X16" s="243"/>
      <c r="Y16" s="263">
        <v>3234801420</v>
      </c>
      <c r="Z16" s="263"/>
      <c r="AA16" s="263"/>
      <c r="AB16" s="263"/>
      <c r="AC16" s="263"/>
      <c r="AD16" s="263"/>
      <c r="AE16" s="263"/>
      <c r="AF16" s="263"/>
      <c r="AG16" s="263"/>
    </row>
    <row r="17" spans="1:49" ht="3" customHeight="1">
      <c r="A17" s="213"/>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06" t="s">
        <v>166</v>
      </c>
      <c r="B18" s="71"/>
      <c r="F18" s="240" t="s">
        <v>111</v>
      </c>
      <c r="G18" s="241"/>
      <c r="H18" s="241"/>
      <c r="I18" s="241"/>
      <c r="J18" s="241"/>
      <c r="K18" s="237" t="s">
        <v>8691</v>
      </c>
      <c r="L18" s="238"/>
      <c r="M18" s="238"/>
      <c r="N18" s="238"/>
      <c r="O18" s="238"/>
      <c r="P18" s="238"/>
      <c r="Q18" s="238"/>
      <c r="R18" s="238"/>
      <c r="S18" s="239"/>
      <c r="T18"/>
      <c r="U18"/>
      <c r="V18"/>
      <c r="W18"/>
      <c r="X18"/>
      <c r="Y18"/>
      <c r="Z18"/>
      <c r="AA18"/>
      <c r="AB18"/>
      <c r="AC18"/>
      <c r="AD18"/>
      <c r="AE18"/>
      <c r="AF18"/>
      <c r="AG18"/>
      <c r="AH18"/>
      <c r="AI18"/>
      <c r="AJ18"/>
      <c r="AK18"/>
      <c r="AQ18"/>
      <c r="AR18"/>
      <c r="AS18"/>
      <c r="AT18"/>
      <c r="AU18"/>
      <c r="AV18"/>
      <c r="AW18"/>
    </row>
    <row r="19" spans="1:49" ht="9.75" customHeight="1">
      <c r="A19" s="206"/>
    </row>
    <row r="20" spans="1:49" ht="27.95" customHeight="1">
      <c r="A20" s="234" t="s">
        <v>167</v>
      </c>
      <c r="F20" s="244" t="s">
        <v>3125</v>
      </c>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row>
    <row r="21" spans="1:49" ht="4.5" customHeight="1">
      <c r="A21" s="213"/>
      <c r="F21"/>
      <c r="G21"/>
      <c r="H21"/>
      <c r="I21"/>
      <c r="J21"/>
    </row>
    <row r="22" spans="1:49" ht="13.9" customHeight="1">
      <c r="A22" s="206" t="s">
        <v>1366</v>
      </c>
      <c r="B22" s="69"/>
      <c r="C22" s="16"/>
      <c r="D22" s="16"/>
      <c r="F22" s="228" t="s">
        <v>3126</v>
      </c>
      <c r="G22" s="229"/>
      <c r="H22" s="230"/>
      <c r="I22" s="267" t="s">
        <v>8692</v>
      </c>
      <c r="J22" s="268"/>
      <c r="K22" s="268"/>
      <c r="L22" s="269"/>
      <c r="M22" s="17"/>
      <c r="N22" s="228" t="s">
        <v>3918</v>
      </c>
      <c r="O22" s="229"/>
      <c r="P22" s="230"/>
      <c r="Q22" s="267" t="s">
        <v>1374</v>
      </c>
      <c r="R22" s="268"/>
      <c r="S22" s="269"/>
      <c r="T22" s="17"/>
      <c r="U22" s="228" t="s">
        <v>276</v>
      </c>
      <c r="V22" s="229"/>
      <c r="W22" s="230"/>
      <c r="X22" s="267" t="s">
        <v>3110</v>
      </c>
      <c r="Y22" s="268"/>
      <c r="Z22" s="269"/>
      <c r="AA22" s="17"/>
      <c r="AB22" s="228" t="s">
        <v>112</v>
      </c>
      <c r="AC22" s="229"/>
      <c r="AD22" s="230"/>
      <c r="AE22" s="273">
        <v>63484625</v>
      </c>
      <c r="AF22" s="274"/>
      <c r="AG22" s="275"/>
    </row>
    <row r="23" spans="1:49" ht="14.25" customHeight="1">
      <c r="A23" s="207"/>
      <c r="F23" s="231"/>
      <c r="G23" s="232"/>
      <c r="H23" s="233"/>
      <c r="I23" s="270"/>
      <c r="J23" s="271"/>
      <c r="K23" s="271"/>
      <c r="L23" s="272"/>
      <c r="M23" s="17"/>
      <c r="N23" s="231"/>
      <c r="O23" s="232"/>
      <c r="P23" s="233"/>
      <c r="Q23" s="270"/>
      <c r="R23" s="271"/>
      <c r="S23" s="272"/>
      <c r="T23" s="17"/>
      <c r="U23" s="231"/>
      <c r="V23" s="232"/>
      <c r="W23" s="233"/>
      <c r="X23" s="270"/>
      <c r="Y23" s="271"/>
      <c r="Z23" s="272"/>
      <c r="AA23" s="17"/>
      <c r="AB23" s="231"/>
      <c r="AC23" s="232"/>
      <c r="AD23" s="233"/>
      <c r="AE23" s="276"/>
      <c r="AF23" s="277"/>
      <c r="AG23" s="278"/>
    </row>
    <row r="24" spans="1:49" ht="20.25" customHeight="1">
      <c r="A24" s="221"/>
    </row>
    <row r="25" spans="1:49" ht="14.25" hidden="1" customHeight="1">
      <c r="A25" s="221"/>
      <c r="F25" s="280"/>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2"/>
    </row>
    <row r="26" spans="1:49" ht="14.25" hidden="1" customHeight="1">
      <c r="A26" s="208"/>
      <c r="F26"/>
      <c r="G26"/>
      <c r="H26"/>
      <c r="I26"/>
      <c r="J26"/>
    </row>
    <row r="27" spans="1:49" ht="14.25" hidden="1" customHeight="1">
      <c r="A27" s="208"/>
    </row>
    <row r="28" spans="1:49" ht="14.25" customHeight="1">
      <c r="A28" s="103"/>
      <c r="F28" s="228" t="s">
        <v>4086</v>
      </c>
      <c r="G28" s="229"/>
      <c r="H28" s="230"/>
      <c r="I28" s="279" t="s">
        <v>4087</v>
      </c>
      <c r="J28" s="279"/>
      <c r="K28" s="279"/>
      <c r="L28" s="222" t="str">
        <f>+IFERROR(VLOOKUP(I28,Cat_precios!B:M,12,FALSE),"")</f>
        <v>BOTA DE COMBATE MEDIA CAÑA EN CUERO SISTEMA VULCANIZADO E INYECCIÓN DIRECTA_según NTMD vigente</v>
      </c>
      <c r="M28" s="223"/>
      <c r="N28" s="223"/>
      <c r="O28" s="223"/>
      <c r="P28" s="223"/>
      <c r="Q28" s="223"/>
      <c r="R28" s="223"/>
      <c r="S28" s="223"/>
      <c r="T28" s="223"/>
      <c r="U28" s="223"/>
      <c r="V28" s="223"/>
      <c r="W28" s="223"/>
      <c r="X28" s="223"/>
      <c r="Y28" s="223"/>
      <c r="Z28" s="223"/>
      <c r="AA28" s="223"/>
      <c r="AB28" s="223"/>
      <c r="AC28" s="223"/>
      <c r="AD28" s="223"/>
      <c r="AE28" s="223"/>
      <c r="AF28" s="223"/>
      <c r="AG28" s="224"/>
    </row>
    <row r="29" spans="1:49" ht="14.25" customHeight="1">
      <c r="A29" s="103"/>
      <c r="F29" s="231"/>
      <c r="G29" s="232"/>
      <c r="H29" s="233"/>
      <c r="I29" s="279"/>
      <c r="J29" s="279"/>
      <c r="K29" s="279"/>
      <c r="L29" s="225"/>
      <c r="M29" s="226"/>
      <c r="N29" s="226"/>
      <c r="O29" s="226"/>
      <c r="P29" s="226"/>
      <c r="Q29" s="226"/>
      <c r="R29" s="226"/>
      <c r="S29" s="226"/>
      <c r="T29" s="226"/>
      <c r="U29" s="226"/>
      <c r="V29" s="226"/>
      <c r="W29" s="226"/>
      <c r="X29" s="226"/>
      <c r="Y29" s="226"/>
      <c r="Z29" s="226"/>
      <c r="AA29" s="226"/>
      <c r="AB29" s="226"/>
      <c r="AC29" s="226"/>
      <c r="AD29" s="226"/>
      <c r="AE29" s="226"/>
      <c r="AF29" s="226"/>
      <c r="AG29" s="227"/>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05" t="str">
        <f>+IF(Desplegable_prod!$A$1&lt;&gt;"",Desplegable_prod!$A$1,"")</f>
        <v>Combinaciones de color segun la entidad compradora</v>
      </c>
      <c r="H33" s="205"/>
      <c r="I33" s="205"/>
      <c r="J33" s="205" t="str">
        <f>+IF(Desplegable_prod!$B$1&lt;&gt;"",Desplegable_prod!$B$1,"")</f>
        <v>Tallas</v>
      </c>
      <c r="K33" s="205"/>
      <c r="L33" s="205"/>
      <c r="M33" s="205" t="str">
        <f>+IF(Desplegable_prod!$C$1&lt;&gt;"",Desplegable_prod!$C$1,"")</f>
        <v>Tipo de suela</v>
      </c>
      <c r="N33" s="205"/>
      <c r="O33" s="205"/>
      <c r="P33" s="205" t="str">
        <f>+IF(Desplegable_prod!$D$1&lt;&gt;"",Desplegable_prod!$D$1,"")</f>
        <v>Cordonera</v>
      </c>
      <c r="Q33" s="205"/>
      <c r="R33" s="205"/>
      <c r="S33" s="205" t="str">
        <f>+IF(Desplegable_prod!$E$1&lt;&gt;"",Desplegable_prod!$E$1,"")</f>
        <v xml:space="preserve">Material cordón </v>
      </c>
      <c r="T33" s="205"/>
      <c r="U33" s="205"/>
      <c r="V33" s="205" t="str">
        <f>+IF(Desplegable_prod!$F$1&lt;&gt;"",Desplegable_prod!$F$1,"")</f>
        <v xml:space="preserve">Color del cordón </v>
      </c>
      <c r="W33" s="205"/>
      <c r="X33" s="205"/>
      <c r="Y33" s="205" t="str">
        <f>+IF(Desplegable_prod!$G$1&lt;&gt;"",Desplegable_prod!$G$1,"")</f>
        <v>Color de ojetes, ganchos de extracción rápida</v>
      </c>
      <c r="Z33" s="205"/>
      <c r="AA33" s="205"/>
      <c r="AB33" s="203" t="s">
        <v>159</v>
      </c>
      <c r="AC33" s="204"/>
      <c r="AD33" s="204"/>
    </row>
    <row r="34" spans="1:36" ht="45" customHeight="1">
      <c r="A34" s="103"/>
      <c r="F34" s="75">
        <f>IFERROR(IF(F33="Ítem",1,ROW()-ROW(SolCotizacion!$F$28)-5),"error")</f>
        <v>1</v>
      </c>
      <c r="G34" s="191" t="s">
        <v>8693</v>
      </c>
      <c r="H34" s="191"/>
      <c r="I34" s="191"/>
      <c r="J34" s="191">
        <v>39</v>
      </c>
      <c r="K34" s="191"/>
      <c r="L34" s="191"/>
      <c r="M34" s="191" t="s">
        <v>8695</v>
      </c>
      <c r="N34" s="191"/>
      <c r="O34" s="191"/>
      <c r="P34" s="191" t="s">
        <v>8698</v>
      </c>
      <c r="Q34" s="191"/>
      <c r="R34" s="191"/>
      <c r="S34" s="191" t="s">
        <v>8699</v>
      </c>
      <c r="T34" s="191"/>
      <c r="U34" s="191"/>
      <c r="V34" s="191" t="s">
        <v>8693</v>
      </c>
      <c r="W34" s="191"/>
      <c r="X34" s="191"/>
      <c r="Y34" s="191" t="s">
        <v>8693</v>
      </c>
      <c r="Z34" s="191"/>
      <c r="AA34" s="191"/>
      <c r="AB34" s="192">
        <v>15</v>
      </c>
      <c r="AC34" s="192"/>
      <c r="AD34" s="192"/>
    </row>
    <row r="35" spans="1:36" ht="45" customHeight="1">
      <c r="A35" s="103"/>
      <c r="F35" s="75">
        <f>IFERROR(IF(F34="Ítem",1,ROW()-ROW(SolCotizacion!$F$28)-5),"error")</f>
        <v>2</v>
      </c>
      <c r="G35" s="191" t="s">
        <v>8693</v>
      </c>
      <c r="H35" s="191"/>
      <c r="I35" s="191"/>
      <c r="J35" s="191">
        <v>40</v>
      </c>
      <c r="K35" s="191"/>
      <c r="L35" s="191"/>
      <c r="M35" s="191" t="s">
        <v>8695</v>
      </c>
      <c r="N35" s="191"/>
      <c r="O35" s="191"/>
      <c r="P35" s="191" t="s">
        <v>8698</v>
      </c>
      <c r="Q35" s="191"/>
      <c r="R35" s="191"/>
      <c r="S35" s="191" t="s">
        <v>8699</v>
      </c>
      <c r="T35" s="191"/>
      <c r="U35" s="191"/>
      <c r="V35" s="191" t="s">
        <v>8693</v>
      </c>
      <c r="W35" s="191"/>
      <c r="X35" s="191"/>
      <c r="Y35" s="191" t="s">
        <v>8693</v>
      </c>
      <c r="Z35" s="191"/>
      <c r="AA35" s="191"/>
      <c r="AB35" s="192">
        <v>19</v>
      </c>
      <c r="AC35" s="192"/>
      <c r="AD35" s="192"/>
    </row>
    <row r="36" spans="1:36" ht="45" customHeight="1">
      <c r="A36" s="103"/>
      <c r="F36" s="75">
        <f>IFERROR(IF(F35="Ítem",1,ROW()-ROW(SolCotizacion!$F$28)-5),"error")</f>
        <v>3</v>
      </c>
      <c r="G36" s="191" t="s">
        <v>8693</v>
      </c>
      <c r="H36" s="191"/>
      <c r="I36" s="191"/>
      <c r="J36" s="191">
        <v>41</v>
      </c>
      <c r="K36" s="191"/>
      <c r="L36" s="191"/>
      <c r="M36" s="191" t="s">
        <v>8695</v>
      </c>
      <c r="N36" s="191"/>
      <c r="O36" s="191"/>
      <c r="P36" s="191" t="s">
        <v>8698</v>
      </c>
      <c r="Q36" s="191"/>
      <c r="R36" s="191"/>
      <c r="S36" s="191" t="s">
        <v>8699</v>
      </c>
      <c r="T36" s="191"/>
      <c r="U36" s="191"/>
      <c r="V36" s="191" t="s">
        <v>8693</v>
      </c>
      <c r="W36" s="191"/>
      <c r="X36" s="191"/>
      <c r="Y36" s="191" t="s">
        <v>8693</v>
      </c>
      <c r="Z36" s="191"/>
      <c r="AA36" s="191"/>
      <c r="AB36" s="192">
        <v>37</v>
      </c>
      <c r="AC36" s="192"/>
      <c r="AD36" s="192"/>
    </row>
    <row r="37" spans="1:36" ht="45" customHeight="1">
      <c r="A37" s="103"/>
      <c r="F37" s="75">
        <f>IFERROR(IF(F36="Ítem",1,ROW()-ROW(SolCotizacion!$F$28)-5),"error")</f>
        <v>4</v>
      </c>
      <c r="G37" s="191" t="s">
        <v>8693</v>
      </c>
      <c r="H37" s="191"/>
      <c r="I37" s="191"/>
      <c r="J37" s="191">
        <v>42</v>
      </c>
      <c r="K37" s="191"/>
      <c r="L37" s="191"/>
      <c r="M37" s="191" t="s">
        <v>8695</v>
      </c>
      <c r="N37" s="191"/>
      <c r="O37" s="191"/>
      <c r="P37" s="191" t="s">
        <v>8698</v>
      </c>
      <c r="Q37" s="191"/>
      <c r="R37" s="191"/>
      <c r="S37" s="191" t="s">
        <v>8699</v>
      </c>
      <c r="T37" s="191"/>
      <c r="U37" s="191"/>
      <c r="V37" s="191" t="s">
        <v>8693</v>
      </c>
      <c r="W37" s="191"/>
      <c r="X37" s="191"/>
      <c r="Y37" s="191" t="s">
        <v>8693</v>
      </c>
      <c r="Z37" s="191"/>
      <c r="AA37" s="191"/>
      <c r="AB37" s="192">
        <v>37</v>
      </c>
      <c r="AC37" s="192"/>
      <c r="AD37" s="192"/>
    </row>
    <row r="38" spans="1:36" ht="45" customHeight="1">
      <c r="A38" s="103"/>
      <c r="F38" s="75">
        <f>IFERROR(IF(F37="Ítem",1,ROW()-ROW(SolCotizacion!$F$28)-5),"error")</f>
        <v>5</v>
      </c>
      <c r="G38" s="191" t="s">
        <v>8693</v>
      </c>
      <c r="H38" s="191"/>
      <c r="I38" s="191"/>
      <c r="J38" s="191">
        <v>43</v>
      </c>
      <c r="K38" s="191"/>
      <c r="L38" s="191"/>
      <c r="M38" s="191" t="s">
        <v>8695</v>
      </c>
      <c r="N38" s="191"/>
      <c r="O38" s="191"/>
      <c r="P38" s="191" t="s">
        <v>8698</v>
      </c>
      <c r="Q38" s="191"/>
      <c r="R38" s="191"/>
      <c r="S38" s="191" t="s">
        <v>8699</v>
      </c>
      <c r="T38" s="191"/>
      <c r="U38" s="191"/>
      <c r="V38" s="191" t="s">
        <v>8693</v>
      </c>
      <c r="W38" s="191"/>
      <c r="X38" s="191"/>
      <c r="Y38" s="191" t="s">
        <v>8693</v>
      </c>
      <c r="Z38" s="191"/>
      <c r="AA38" s="191"/>
      <c r="AB38" s="192">
        <v>37</v>
      </c>
      <c r="AC38" s="192"/>
      <c r="AD38" s="192"/>
    </row>
    <row r="39" spans="1:36" ht="6.75" customHeight="1"/>
    <row r="40" spans="1:36" ht="14.25" customHeight="1">
      <c r="F40"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40" s="283"/>
      <c r="H40" s="283"/>
      <c r="I40" s="283"/>
      <c r="J40" s="283"/>
      <c r="K40" s="283"/>
      <c r="L40" s="283"/>
      <c r="M40" s="283"/>
      <c r="N40" s="283"/>
      <c r="O40" s="283"/>
      <c r="P40" s="283"/>
      <c r="Q40" s="283"/>
      <c r="R40" s="283"/>
      <c r="S40" s="283"/>
      <c r="T40" s="283"/>
      <c r="U40" s="283"/>
      <c r="V40" s="283"/>
      <c r="W40" s="283"/>
      <c r="X40" s="283"/>
    </row>
    <row r="41" spans="1:36" ht="14.25" customHeight="1">
      <c r="F41" s="149"/>
      <c r="G41" s="149"/>
      <c r="H41" s="149"/>
      <c r="I41" s="149"/>
      <c r="J41" s="149"/>
      <c r="K41" s="149"/>
      <c r="L41" s="149"/>
      <c r="M41" s="149"/>
      <c r="N41" s="149"/>
      <c r="O41" s="149"/>
      <c r="P41" s="149"/>
      <c r="Q41" s="149"/>
      <c r="R41" s="149"/>
      <c r="S41" s="149"/>
      <c r="T41" s="149"/>
      <c r="U41" s="149"/>
      <c r="V41" s="149"/>
      <c r="W41" s="149"/>
      <c r="X41" s="149"/>
    </row>
    <row r="42" spans="1:36">
      <c r="G42" s="250" t="s">
        <v>3906</v>
      </c>
      <c r="H42" s="250"/>
      <c r="I42" s="250"/>
      <c r="J42" s="250"/>
      <c r="K42" s="250"/>
      <c r="L42" s="250"/>
    </row>
    <row r="43" spans="1:36">
      <c r="G43" s="251">
        <v>1</v>
      </c>
      <c r="H43" s="252"/>
      <c r="I43" s="252"/>
      <c r="J43" s="252"/>
      <c r="K43" s="252"/>
      <c r="L43" s="253"/>
    </row>
    <row r="44" spans="1:36">
      <c r="G44"/>
      <c r="H44"/>
      <c r="I44"/>
      <c r="J44"/>
    </row>
    <row r="45" spans="1:36" s="32" customFormat="1">
      <c r="A45" s="163"/>
      <c r="B45" s="32" t="s">
        <v>3910</v>
      </c>
      <c r="F45" s="164" t="s">
        <v>120</v>
      </c>
      <c r="G45" s="32" t="s">
        <v>120</v>
      </c>
      <c r="H45" s="32" t="s">
        <v>120</v>
      </c>
      <c r="I45" s="32" t="s">
        <v>120</v>
      </c>
      <c r="J45" s="32" t="s">
        <v>120</v>
      </c>
      <c r="K45" s="32" t="s">
        <v>120</v>
      </c>
      <c r="L45" s="32" t="s">
        <v>120</v>
      </c>
      <c r="M45" s="32" t="s">
        <v>120</v>
      </c>
      <c r="N45" s="32" t="s">
        <v>120</v>
      </c>
      <c r="O45" s="32" t="s">
        <v>120</v>
      </c>
      <c r="P45" s="32" t="s">
        <v>120</v>
      </c>
      <c r="Q45" s="32" t="s">
        <v>120</v>
      </c>
      <c r="R45" s="32" t="s">
        <v>120</v>
      </c>
      <c r="S45" s="32" t="s">
        <v>120</v>
      </c>
      <c r="T45" s="32" t="s">
        <v>120</v>
      </c>
      <c r="U45" s="32" t="s">
        <v>120</v>
      </c>
      <c r="V45" s="32" t="s">
        <v>120</v>
      </c>
      <c r="W45" s="32" t="s">
        <v>120</v>
      </c>
      <c r="X45" s="32" t="s">
        <v>120</v>
      </c>
      <c r="Y45" s="32" t="s">
        <v>120</v>
      </c>
      <c r="Z45" s="32" t="s">
        <v>120</v>
      </c>
      <c r="AA45" s="32" t="s">
        <v>120</v>
      </c>
      <c r="AB45" s="32" t="s">
        <v>120</v>
      </c>
      <c r="AC45" s="32" t="s">
        <v>120</v>
      </c>
      <c r="AD45" s="32" t="s">
        <v>120</v>
      </c>
      <c r="AE45" s="32" t="s">
        <v>120</v>
      </c>
      <c r="AF45" s="32" t="s">
        <v>120</v>
      </c>
      <c r="AG45" s="32" t="s">
        <v>120</v>
      </c>
      <c r="AJ45" s="44"/>
    </row>
    <row r="46" spans="1:36" ht="21" customHeight="1">
      <c r="F46" s="284" t="s">
        <v>4070</v>
      </c>
      <c r="G46" s="284"/>
      <c r="H46" s="284"/>
      <c r="I46" s="284"/>
      <c r="J46" s="284"/>
      <c r="K46" s="284"/>
      <c r="L46" s="284"/>
      <c r="M46" s="284"/>
      <c r="N46" s="284"/>
      <c r="O46" s="291" t="s">
        <v>1311</v>
      </c>
      <c r="P46" s="291"/>
      <c r="Q46" s="291"/>
      <c r="R46" s="291"/>
      <c r="S46" s="291"/>
      <c r="T46" s="291"/>
      <c r="U46" s="291"/>
      <c r="V46" s="291"/>
      <c r="W46" s="291"/>
      <c r="X46" s="291"/>
      <c r="Y46" s="291"/>
      <c r="Z46" s="291"/>
      <c r="AA46" s="291"/>
      <c r="AB46" s="291"/>
      <c r="AC46" s="291"/>
      <c r="AD46" s="291"/>
      <c r="AE46" s="291"/>
      <c r="AF46" s="291"/>
      <c r="AG46" s="291"/>
    </row>
    <row r="47" spans="1:36" ht="27.95" customHeight="1">
      <c r="F47" s="284" t="s">
        <v>3907</v>
      </c>
      <c r="G47" s="284"/>
      <c r="H47" s="284"/>
      <c r="I47" s="284"/>
      <c r="J47" s="284"/>
      <c r="K47" s="284"/>
      <c r="L47" s="284"/>
      <c r="M47" s="284"/>
      <c r="N47" s="284"/>
      <c r="O47" s="291" t="s">
        <v>8701</v>
      </c>
      <c r="P47" s="291"/>
      <c r="Q47" s="291"/>
      <c r="R47" s="291"/>
      <c r="S47" s="291"/>
      <c r="T47" s="291"/>
      <c r="U47" s="291"/>
      <c r="V47" s="291"/>
      <c r="W47" s="291"/>
      <c r="X47" s="291"/>
      <c r="Y47" s="291"/>
      <c r="Z47" s="291"/>
      <c r="AA47" s="291"/>
      <c r="AB47" s="291"/>
      <c r="AC47" s="291"/>
      <c r="AD47" s="291"/>
      <c r="AE47" s="291"/>
      <c r="AF47" s="291"/>
      <c r="AG47" s="291"/>
    </row>
    <row r="48" spans="1:36" ht="21" customHeight="1">
      <c r="F48" s="284" t="s">
        <v>3284</v>
      </c>
      <c r="G48" s="284"/>
      <c r="H48" s="284"/>
      <c r="I48" s="284"/>
      <c r="J48" s="284"/>
      <c r="K48" s="284"/>
      <c r="L48" s="284"/>
      <c r="M48" s="284"/>
      <c r="N48" s="284"/>
      <c r="O48" s="287" t="s">
        <v>8701</v>
      </c>
      <c r="P48" s="287"/>
      <c r="Q48" s="287"/>
      <c r="R48" s="287"/>
      <c r="S48" s="287"/>
      <c r="T48" s="287"/>
      <c r="U48" s="287"/>
      <c r="V48" s="287"/>
      <c r="W48" s="287"/>
      <c r="X48" s="287"/>
      <c r="Y48" s="287"/>
      <c r="Z48" s="287"/>
      <c r="AA48" s="287"/>
      <c r="AB48" s="287"/>
      <c r="AC48" s="287"/>
      <c r="AD48" s="287"/>
      <c r="AE48" s="287"/>
      <c r="AF48" s="287"/>
      <c r="AG48" s="287"/>
    </row>
    <row r="49" spans="1:33" ht="21" customHeight="1">
      <c r="F49" s="285" t="s">
        <v>3908</v>
      </c>
      <c r="G49" s="285"/>
      <c r="H49" s="285"/>
      <c r="I49" s="285"/>
      <c r="J49" s="285"/>
      <c r="K49" s="285"/>
      <c r="L49" s="285"/>
      <c r="M49" s="285"/>
      <c r="N49" s="286"/>
      <c r="O49" s="288" t="s">
        <v>8701</v>
      </c>
      <c r="P49" s="289"/>
      <c r="Q49" s="289"/>
      <c r="R49" s="289"/>
      <c r="S49" s="289"/>
      <c r="T49" s="289"/>
      <c r="U49" s="289"/>
      <c r="V49" s="289"/>
      <c r="W49" s="289"/>
      <c r="X49" s="289"/>
      <c r="Y49" s="289"/>
      <c r="Z49" s="289"/>
      <c r="AA49" s="289"/>
      <c r="AB49" s="289"/>
      <c r="AC49" s="289"/>
      <c r="AD49" s="289"/>
      <c r="AE49" s="289"/>
      <c r="AF49" s="289"/>
      <c r="AG49" s="290"/>
    </row>
    <row r="50" spans="1:33" ht="14.25" hidden="1" customHeight="1">
      <c r="A50"/>
      <c r="B50"/>
      <c r="F50"/>
      <c r="G50"/>
      <c r="H50"/>
      <c r="I50"/>
      <c r="J50"/>
    </row>
    <row r="51" spans="1:33" ht="30.75" customHeight="1">
      <c r="F51" s="197" t="s">
        <v>4071</v>
      </c>
      <c r="G51" s="197"/>
      <c r="H51" s="197"/>
      <c r="I51" s="197"/>
      <c r="J51" s="197"/>
      <c r="K51" s="197"/>
      <c r="L51" s="197"/>
      <c r="M51" s="197"/>
      <c r="N51" s="197"/>
      <c r="O51" s="198"/>
      <c r="P51" s="197"/>
      <c r="Q51" s="197"/>
      <c r="R51" s="197"/>
      <c r="S51" s="197"/>
      <c r="T51" s="197"/>
      <c r="U51" s="197"/>
      <c r="V51" s="197"/>
      <c r="W51" s="197"/>
      <c r="X51" s="197"/>
      <c r="Y51" s="197"/>
      <c r="Z51" s="197"/>
      <c r="AA51" s="197"/>
      <c r="AB51" s="197"/>
      <c r="AC51" s="197"/>
      <c r="AD51" s="197"/>
      <c r="AE51" s="197"/>
      <c r="AF51" s="197"/>
      <c r="AG51" s="197"/>
    </row>
    <row r="52" spans="1:33">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row>
    <row r="54" spans="1:33" ht="27.95" customHeight="1">
      <c r="F54" s="244" t="s">
        <v>3119</v>
      </c>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row>
    <row r="55" spans="1:33">
      <c r="F55"/>
      <c r="G55"/>
      <c r="H55"/>
      <c r="I55"/>
      <c r="J55"/>
    </row>
    <row r="56" spans="1:33" ht="24" customHeight="1">
      <c r="B56" s="32" t="s">
        <v>3904</v>
      </c>
      <c r="F56" s="245" t="s">
        <v>3120</v>
      </c>
      <c r="G56" s="246"/>
      <c r="H56" s="247" t="s">
        <v>3121</v>
      </c>
      <c r="I56" s="248"/>
      <c r="J56" s="248"/>
      <c r="K56" s="199" t="s">
        <v>1</v>
      </c>
      <c r="L56" s="200"/>
      <c r="M56" s="200"/>
      <c r="N56" s="200"/>
      <c r="O56" s="201"/>
      <c r="P56" s="199" t="s">
        <v>3123</v>
      </c>
      <c r="Q56" s="200"/>
      <c r="R56" s="200"/>
      <c r="S56" s="200"/>
      <c r="T56" s="200"/>
      <c r="U56" s="201"/>
      <c r="V56" s="199" t="s">
        <v>3122</v>
      </c>
      <c r="W56" s="200"/>
      <c r="X56" s="200"/>
      <c r="Y56" s="200"/>
      <c r="Z56" s="200"/>
      <c r="AA56" s="200"/>
      <c r="AB56" s="200"/>
      <c r="AC56" s="200"/>
      <c r="AD56" s="200"/>
      <c r="AE56" s="201"/>
      <c r="AF56" s="199" t="s">
        <v>159</v>
      </c>
      <c r="AG56" s="200"/>
    </row>
    <row r="57" spans="1:33">
      <c r="F57" s="193">
        <f>+IF(F56="No. de entrega",1,F56+1)</f>
        <v>1</v>
      </c>
      <c r="G57" s="194"/>
      <c r="H57" s="195">
        <v>46219</v>
      </c>
      <c r="I57" s="195"/>
      <c r="J57" s="195"/>
      <c r="K57" s="196" t="s">
        <v>1778</v>
      </c>
      <c r="L57" s="196"/>
      <c r="M57" s="196"/>
      <c r="N57" s="196"/>
      <c r="O57" s="196"/>
      <c r="P57" s="196" t="s">
        <v>1260</v>
      </c>
      <c r="Q57" s="196"/>
      <c r="R57" s="196"/>
      <c r="S57" s="196"/>
      <c r="T57" s="196"/>
      <c r="U57" s="196"/>
      <c r="V57" s="196" t="s">
        <v>8702</v>
      </c>
      <c r="W57" s="196"/>
      <c r="X57" s="196"/>
      <c r="Y57" s="196"/>
      <c r="Z57" s="196"/>
      <c r="AA57" s="196"/>
      <c r="AB57" s="196"/>
      <c r="AC57" s="196"/>
      <c r="AD57" s="196"/>
      <c r="AE57" s="196"/>
      <c r="AF57" s="202">
        <v>30</v>
      </c>
      <c r="AG57" s="202"/>
    </row>
    <row r="58" spans="1:33">
      <c r="F58" s="193">
        <f>+IF(F57="No. de entrega",1,F57+1)</f>
        <v>2</v>
      </c>
      <c r="G58" s="194"/>
      <c r="H58" s="195">
        <v>46219</v>
      </c>
      <c r="I58" s="195"/>
      <c r="J58" s="195"/>
      <c r="K58" s="196" t="s">
        <v>1778</v>
      </c>
      <c r="L58" s="196"/>
      <c r="M58" s="196"/>
      <c r="N58" s="196"/>
      <c r="O58" s="196"/>
      <c r="P58" s="196" t="s">
        <v>1260</v>
      </c>
      <c r="Q58" s="196"/>
      <c r="R58" s="196"/>
      <c r="S58" s="196"/>
      <c r="T58" s="196"/>
      <c r="U58" s="196"/>
      <c r="V58" s="196" t="s">
        <v>8703</v>
      </c>
      <c r="W58" s="196"/>
      <c r="X58" s="196"/>
      <c r="Y58" s="196"/>
      <c r="Z58" s="196"/>
      <c r="AA58" s="196"/>
      <c r="AB58" s="196"/>
      <c r="AC58" s="196"/>
      <c r="AD58" s="196"/>
      <c r="AE58" s="196"/>
      <c r="AF58" s="202">
        <v>115</v>
      </c>
      <c r="AG58" s="202"/>
    </row>
    <row r="59" spans="1:33" ht="6.75" customHeight="1">
      <c r="G59"/>
      <c r="H59"/>
      <c r="I59"/>
      <c r="J59"/>
    </row>
    <row r="60" spans="1:33">
      <c r="F60" s="150" t="s">
        <v>3124</v>
      </c>
      <c r="G60" s="137"/>
      <c r="H60" s="137"/>
      <c r="I60" s="138"/>
      <c r="J60" s="138"/>
      <c r="K60" s="138"/>
      <c r="L60" s="138"/>
      <c r="M60" s="138"/>
      <c r="N60" s="138"/>
      <c r="O60" s="138"/>
      <c r="P60" s="139"/>
    </row>
    <row r="61" spans="1:33">
      <c r="G61"/>
      <c r="H61"/>
      <c r="I61"/>
      <c r="J61"/>
    </row>
    <row r="62" spans="1:33">
      <c r="G62" s="250" t="s">
        <v>3905</v>
      </c>
      <c r="H62" s="250"/>
      <c r="I62" s="250"/>
      <c r="J62" s="250"/>
      <c r="K62" s="250"/>
      <c r="L62" s="250"/>
    </row>
    <row r="63" spans="1:33">
      <c r="G63" s="251">
        <v>1</v>
      </c>
      <c r="H63" s="252"/>
      <c r="I63" s="252"/>
      <c r="J63" s="252"/>
      <c r="K63" s="252"/>
      <c r="L63" s="253"/>
    </row>
    <row r="64" spans="1:33">
      <c r="G64"/>
      <c r="H64"/>
      <c r="I64"/>
      <c r="J64"/>
    </row>
    <row r="65" spans="2:33">
      <c r="G65"/>
      <c r="H65"/>
      <c r="I65"/>
      <c r="J65"/>
    </row>
    <row r="66" spans="2:33" ht="27.95" customHeight="1">
      <c r="F66" s="244" t="s">
        <v>125</v>
      </c>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row>
    <row r="67" spans="2:33">
      <c r="F67" s="21"/>
      <c r="G67" s="21"/>
      <c r="H67" s="21"/>
      <c r="I67" s="21"/>
      <c r="J67" s="21"/>
      <c r="K67" s="21"/>
      <c r="L67" s="21"/>
      <c r="M67" s="21"/>
      <c r="N67" s="22"/>
      <c r="O67" s="22"/>
      <c r="P67" s="22"/>
      <c r="Q67" s="22"/>
    </row>
    <row r="68" spans="2:33">
      <c r="B68" s="32" t="s">
        <v>124</v>
      </c>
      <c r="F68" s="59" t="s">
        <v>126</v>
      </c>
      <c r="G68" s="256" t="s">
        <v>1373</v>
      </c>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05" t="s">
        <v>127</v>
      </c>
      <c r="AF68" s="205"/>
      <c r="AG68" s="205"/>
    </row>
    <row r="69" spans="2:33">
      <c r="F69" s="24">
        <f>+IF(F68="No",1,F68+1)</f>
        <v>1</v>
      </c>
      <c r="G69" s="257" t="s">
        <v>8704</v>
      </c>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9">
        <v>5.0000000000000001E-3</v>
      </c>
      <c r="AF69" s="259"/>
      <c r="AG69" s="259"/>
    </row>
    <row r="70" spans="2:33">
      <c r="F70" s="24">
        <f>+IF(F69="No",1,F69+1)</f>
        <v>2</v>
      </c>
      <c r="G70" s="257" t="s">
        <v>8705</v>
      </c>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9">
        <v>5.0000000000000001E-3</v>
      </c>
      <c r="AF70" s="259"/>
      <c r="AG70" s="259"/>
    </row>
    <row r="71" spans="2:33">
      <c r="G71" s="258" t="s">
        <v>128</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4">
        <f ca="1">SUM(AE69:OFFSET(W71,-1,-1))</f>
        <v>0.01</v>
      </c>
      <c r="AF71" s="254"/>
      <c r="AG71" s="254"/>
    </row>
    <row r="72" spans="2:33">
      <c r="G72" s="255" t="s">
        <v>129</v>
      </c>
      <c r="H72" s="255"/>
      <c r="I72" s="255"/>
      <c r="J72" s="255"/>
      <c r="K72" s="255"/>
      <c r="L72" s="255"/>
      <c r="M72" s="21"/>
    </row>
    <row r="73" spans="2:33">
      <c r="G73" s="249">
        <v>1</v>
      </c>
      <c r="H73" s="249"/>
      <c r="I73" s="249"/>
      <c r="J73" s="249"/>
      <c r="K73" s="249"/>
      <c r="L73" s="249"/>
      <c r="M73" s="21"/>
    </row>
    <row r="75" spans="2:33">
      <c r="B75" s="32" t="s">
        <v>139</v>
      </c>
      <c r="F75"/>
      <c r="G75"/>
      <c r="H75"/>
      <c r="I75"/>
      <c r="J75"/>
    </row>
    <row r="76" spans="2:33">
      <c r="F76"/>
      <c r="G76"/>
      <c r="H76"/>
      <c r="I76"/>
      <c r="J76"/>
    </row>
    <row r="77" spans="2:33">
      <c r="F77"/>
      <c r="G77"/>
      <c r="H77"/>
      <c r="I77"/>
      <c r="J77"/>
    </row>
    <row r="78" spans="2:33">
      <c r="F78"/>
      <c r="G78"/>
      <c r="H78"/>
      <c r="I78"/>
      <c r="J78"/>
    </row>
    <row r="79" spans="2:33">
      <c r="F79"/>
      <c r="G79"/>
      <c r="H79"/>
      <c r="I79"/>
      <c r="J79"/>
    </row>
    <row r="80" spans="2:33">
      <c r="F80"/>
      <c r="G80"/>
      <c r="H80"/>
      <c r="I80"/>
      <c r="J80"/>
    </row>
    <row r="81" spans="6:28">
      <c r="F81" s="26"/>
      <c r="G81" s="26"/>
      <c r="H81"/>
      <c r="I81" s="26"/>
      <c r="J81" s="26"/>
      <c r="K81" s="26"/>
      <c r="L81" s="26"/>
      <c r="M81" s="26"/>
      <c r="N81" s="26"/>
      <c r="O81" s="26"/>
      <c r="P81" s="26"/>
      <c r="Q81" s="26"/>
      <c r="R81" s="26"/>
      <c r="S81" s="26"/>
      <c r="T81" s="26"/>
      <c r="U81" s="26"/>
      <c r="V81" s="26"/>
      <c r="W81" s="26"/>
      <c r="X81" s="26"/>
      <c r="Y81" s="26"/>
      <c r="Z81" s="26"/>
      <c r="AA81" s="26"/>
      <c r="AB81" s="26"/>
    </row>
    <row r="82" spans="6:28">
      <c r="F82" s="26"/>
      <c r="G82" s="26"/>
      <c r="H82"/>
      <c r="I82" s="26"/>
      <c r="J82" s="26"/>
      <c r="K82" s="26"/>
      <c r="L82" s="26"/>
      <c r="M82" s="26"/>
      <c r="N82" s="26"/>
      <c r="O82" s="26"/>
      <c r="P82" s="26"/>
      <c r="Q82" s="26"/>
      <c r="R82" s="26"/>
      <c r="S82" s="26"/>
      <c r="T82" s="26"/>
      <c r="U82" s="26"/>
      <c r="V82" s="26"/>
      <c r="W82" s="26"/>
      <c r="X82" s="26"/>
      <c r="Y82" s="26"/>
      <c r="Z82" s="26"/>
      <c r="AA82" s="26"/>
      <c r="AB82" s="26"/>
    </row>
    <row r="85" spans="6:28">
      <c r="F85" s="21"/>
    </row>
    <row r="86" spans="6:28">
      <c r="F86" s="21"/>
    </row>
    <row r="94" spans="6:28">
      <c r="F94"/>
      <c r="G94"/>
      <c r="H94"/>
      <c r="I94"/>
      <c r="J94"/>
    </row>
    <row r="95" spans="6:28">
      <c r="F95"/>
      <c r="G95"/>
      <c r="H95"/>
      <c r="I95"/>
      <c r="J95"/>
    </row>
    <row r="96" spans="6:28">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row r="224" spans="6:10">
      <c r="F224"/>
      <c r="G224"/>
      <c r="H224"/>
      <c r="I224"/>
      <c r="J224"/>
    </row>
    <row r="225" spans="6:10">
      <c r="F225"/>
      <c r="G225"/>
      <c r="H225"/>
      <c r="I225"/>
      <c r="J225"/>
    </row>
    <row r="226" spans="6:10">
      <c r="F226"/>
      <c r="G226"/>
      <c r="H226"/>
      <c r="I226"/>
      <c r="J226"/>
    </row>
    <row r="227" spans="6:10">
      <c r="F227"/>
      <c r="G227"/>
      <c r="H227"/>
      <c r="I227"/>
      <c r="J227"/>
    </row>
    <row r="228" spans="6:10">
      <c r="F228"/>
      <c r="G228"/>
      <c r="H228"/>
      <c r="I228"/>
      <c r="J228"/>
    </row>
  </sheetData>
  <sheetProtection algorithmName="SHA-512" hashValue="me2TxwBYLHVL+0Un33aGchWzUKrrrQNuk7okZ95OviPuIZ+iB2YLe8g0bXaWC+4We9DMP9AERysNnhB3xT6kAw==" saltValue="E8A/yMiWmfzs228yUa8ocA==" spinCount="100000" sheet="1" objects="1" scenarios="1"/>
  <mergeCells count="136">
    <mergeCell ref="F40:X40"/>
    <mergeCell ref="F46:N46"/>
    <mergeCell ref="F47:N47"/>
    <mergeCell ref="F48:N48"/>
    <mergeCell ref="F49:N49"/>
    <mergeCell ref="O48:AG48"/>
    <mergeCell ref="O49:AG49"/>
    <mergeCell ref="O46:AG46"/>
    <mergeCell ref="O47:AG47"/>
    <mergeCell ref="F1:AG2"/>
    <mergeCell ref="K14:S14"/>
    <mergeCell ref="G43:L43"/>
    <mergeCell ref="G42:L42"/>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F25:AG25"/>
    <mergeCell ref="F22:H23"/>
    <mergeCell ref="N22:P23"/>
    <mergeCell ref="Q22:S23"/>
    <mergeCell ref="U22:W23"/>
    <mergeCell ref="X22:Z23"/>
    <mergeCell ref="AF56:AG56"/>
    <mergeCell ref="F57:G57"/>
    <mergeCell ref="H57:J57"/>
    <mergeCell ref="G73:L73"/>
    <mergeCell ref="G62:L62"/>
    <mergeCell ref="G63:L63"/>
    <mergeCell ref="F66:AG66"/>
    <mergeCell ref="AE71:AG71"/>
    <mergeCell ref="G72:L72"/>
    <mergeCell ref="G68:AD68"/>
    <mergeCell ref="G69:AD69"/>
    <mergeCell ref="G71:AD71"/>
    <mergeCell ref="AE68:AG68"/>
    <mergeCell ref="AE69:AG69"/>
    <mergeCell ref="AF58:AG58"/>
    <mergeCell ref="G70:AD70"/>
    <mergeCell ref="AE70:AG70"/>
    <mergeCell ref="A22:A23"/>
    <mergeCell ref="A26:A27"/>
    <mergeCell ref="J33:L33"/>
    <mergeCell ref="A5:A7"/>
    <mergeCell ref="A8:A9"/>
    <mergeCell ref="F12:J12"/>
    <mergeCell ref="K12:S12"/>
    <mergeCell ref="A10:A11"/>
    <mergeCell ref="A12:A13"/>
    <mergeCell ref="A24:A25"/>
    <mergeCell ref="L28:AG29"/>
    <mergeCell ref="F28:H29"/>
    <mergeCell ref="A20:A21"/>
    <mergeCell ref="T12:X12"/>
    <mergeCell ref="F14:J14"/>
    <mergeCell ref="K18:S18"/>
    <mergeCell ref="F18:J18"/>
    <mergeCell ref="T14:X14"/>
    <mergeCell ref="A16:A17"/>
    <mergeCell ref="A18:A19"/>
    <mergeCell ref="A14:A15"/>
    <mergeCell ref="K16:S16"/>
    <mergeCell ref="T16:X16"/>
    <mergeCell ref="F16:J16"/>
    <mergeCell ref="Y34:AA34"/>
    <mergeCell ref="AB33:AD33"/>
    <mergeCell ref="AB34:AD34"/>
    <mergeCell ref="G35:I35"/>
    <mergeCell ref="J35:L35"/>
    <mergeCell ref="M35:O35"/>
    <mergeCell ref="P35:R35"/>
    <mergeCell ref="S35:U35"/>
    <mergeCell ref="V35:X35"/>
    <mergeCell ref="Y35:AA35"/>
    <mergeCell ref="AB35:AD35"/>
    <mergeCell ref="J34:L34"/>
    <mergeCell ref="M34:O34"/>
    <mergeCell ref="P34:R34"/>
    <mergeCell ref="S34:U34"/>
    <mergeCell ref="V34:X34"/>
    <mergeCell ref="M33:O33"/>
    <mergeCell ref="P33:R33"/>
    <mergeCell ref="S33:U33"/>
    <mergeCell ref="V33:X33"/>
    <mergeCell ref="Y33:AA33"/>
    <mergeCell ref="G33:I33"/>
    <mergeCell ref="V36:X36"/>
    <mergeCell ref="Y36:AA36"/>
    <mergeCell ref="AB36:AD36"/>
    <mergeCell ref="G37:I37"/>
    <mergeCell ref="J37:L37"/>
    <mergeCell ref="M37:O37"/>
    <mergeCell ref="P37:R37"/>
    <mergeCell ref="S37:U37"/>
    <mergeCell ref="V37:X37"/>
    <mergeCell ref="Y37:AA37"/>
    <mergeCell ref="AB37:AD37"/>
    <mergeCell ref="G36:I36"/>
    <mergeCell ref="J36:L36"/>
    <mergeCell ref="M36:O36"/>
    <mergeCell ref="P36:R36"/>
    <mergeCell ref="S36:U36"/>
    <mergeCell ref="V38:X38"/>
    <mergeCell ref="Y38:AA38"/>
    <mergeCell ref="AB38:AD38"/>
    <mergeCell ref="F58:G58"/>
    <mergeCell ref="H58:J58"/>
    <mergeCell ref="K58:O58"/>
    <mergeCell ref="P58:U58"/>
    <mergeCell ref="V58:AE58"/>
    <mergeCell ref="G38:I38"/>
    <mergeCell ref="J38:L38"/>
    <mergeCell ref="M38:O38"/>
    <mergeCell ref="P38:R38"/>
    <mergeCell ref="S38:U38"/>
    <mergeCell ref="F51:AG52"/>
    <mergeCell ref="V56:AE56"/>
    <mergeCell ref="V57:AE57"/>
    <mergeCell ref="P56:U56"/>
    <mergeCell ref="P57:U57"/>
    <mergeCell ref="K56:O56"/>
    <mergeCell ref="K57:O57"/>
    <mergeCell ref="AF57:AG57"/>
    <mergeCell ref="F54:AG54"/>
    <mergeCell ref="F56:G56"/>
    <mergeCell ref="H56:J56"/>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7:Q67" xr:uid="{EEB2FEC0-3059-40CE-95E1-122DE6640770}">
      <formula1>A1_Lista_SF</formula1>
    </dataValidation>
    <dataValidation type="whole" allowBlank="1" showInputMessage="1" showErrorMessage="1" errorTitle="Filas a agregar/eliminar" error="Por favor ingrese un número entre 1 y 100" sqref="G43:L43 G63:L63" xr:uid="{ACE88425-C32F-4FB6-9E29-B8A3A0587881}">
      <formula1>1</formula1>
      <formula2>100</formula2>
    </dataValidation>
    <dataValidation type="whole" allowBlank="1" showInputMessage="1" showErrorMessage="1" errorTitle="Filas a agregar/eliminar" error="Por favor ingrese un número entre 1 y 100" sqref="G73:L73"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9" xr:uid="{9EF4FB86-1EC9-4676-BF7B-84AFEEF5721D}">
      <formula1>Deptos</formula1>
    </dataValidation>
    <dataValidation type="whole" operator="greaterThan" allowBlank="1" showInputMessage="1" showErrorMessage="1" errorTitle="Error" error="Valor no válido" sqref="AB59 AF57:AF58" xr:uid="{15569035-D73E-457F-9FAF-EE5AA0835237}">
      <formula1>0</formula1>
    </dataValidation>
    <dataValidation type="list" allowBlank="1" showInputMessage="1" showErrorMessage="1" sqref="K57:O58" xr:uid="{354304A6-1C30-416F-903F-185CD3B2AD7A}">
      <formula1>departamentos_DIVIPOLA</formula1>
    </dataValidation>
    <dataValidation type="list" allowBlank="1" showInputMessage="1" showErrorMessage="1" sqref="O47:O49"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6"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71"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9:AG70" xr:uid="{F7494C60-34D1-46CC-83D5-5A7F89B17C67}">
      <formula1>AND(ROUND(AE69,4)=AE69, AE69&gt;=0, AE69&lt;=1)</formula1>
    </dataValidation>
    <dataValidation type="date" operator="greaterThanOrEqual" allowBlank="1" showInputMessage="1" showErrorMessage="1" errorTitle="Error" error="Fecha no válida" sqref="H57:H59" xr:uid="{19A40E00-F484-4364-8D0F-11A7187945C8}">
      <formula1>TODAY()</formula1>
    </dataValidation>
    <dataValidation type="whole" operator="greaterThanOrEqual" allowBlank="1" showInputMessage="1" showErrorMessage="1" errorTitle="Cantidad" error="Por favor ingrese una cantidad mayor o igual a 1" sqref="AB34:AD38" xr:uid="{3270E034-AC72-4451-A998-8C0535FF0AF2}">
      <formula1>1</formula1>
    </dataValidation>
  </dataValidations>
  <hyperlinks>
    <hyperlink ref="F51:R52"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51:AG52"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8">
        <x14:dataValidation type="list" allowBlank="1" showInputMessage="1" showErrorMessage="1" xr:uid="{F95FB6A3-4E95-4A0D-9A6E-306088CA01A6}">
          <x14:formula1>
            <xm:f>Desplegable_prod!$G$2:$G$40</xm:f>
          </x14:formula1>
          <xm:sqref>Y34:AA38</xm:sqref>
        </x14:dataValidation>
        <x14:dataValidation type="list" allowBlank="1" showInputMessage="1" showErrorMessage="1" xr:uid="{EC20918C-80B0-4EDD-B727-6614FD077BAD}">
          <x14:formula1>
            <xm:f>Desplegable_prod!$F$2:$F$40</xm:f>
          </x14:formula1>
          <xm:sqref>V34:X38</xm:sqref>
        </x14:dataValidation>
        <x14:dataValidation type="list" allowBlank="1" showInputMessage="1" showErrorMessage="1" xr:uid="{74AA55FA-9D02-4BCB-A094-603407507A5A}">
          <x14:formula1>
            <xm:f>Desplegable_prod!$E$2:$E$40</xm:f>
          </x14:formula1>
          <xm:sqref>S34:U38</xm:sqref>
        </x14:dataValidation>
        <x14:dataValidation type="list" allowBlank="1" showInputMessage="1" showErrorMessage="1" xr:uid="{6C9AFA4F-F923-4409-A055-5933D7874DC2}">
          <x14:formula1>
            <xm:f>Desplegable_prod!$D$2:$D$40</xm:f>
          </x14:formula1>
          <xm:sqref>P34:R38</xm:sqref>
        </x14:dataValidation>
        <x14:dataValidation type="list" allowBlank="1" showInputMessage="1" showErrorMessage="1" xr:uid="{EF4DC95F-C98E-48C7-A5DF-612D6F9DBFEB}">
          <x14:formula1>
            <xm:f>Desplegable_prod!$C$2:$C$40</xm:f>
          </x14:formula1>
          <xm:sqref>M34:O38</xm:sqref>
        </x14:dataValidation>
        <x14:dataValidation type="list" allowBlank="1" showInputMessage="1" showErrorMessage="1" xr:uid="{B9782969-44C7-4994-88D6-F395183F4FAB}">
          <x14:formula1>
            <xm:f>Desplegable_prod!$B$2:$B$40</xm:f>
          </x14:formula1>
          <xm:sqref>J34:L38</xm:sqref>
        </x14:dataValidation>
        <x14:dataValidation type="list" allowBlank="1" showInputMessage="1" showErrorMessage="1" xr:uid="{207A6B5E-E1D2-4F5C-AC28-81673648B5E8}">
          <x14:formula1>
            <xm:f>Desplegable_prod!$A$2:$A$40</xm:f>
          </x14:formula1>
          <xm:sqref>G34:I38</xm:sqref>
        </x14:dataValidation>
        <x14:dataValidation type="list" allowBlank="1" showInputMessage="1" showErrorMessage="1" xr:uid="{1ED7FBDD-688E-49EE-8D89-4511A544C3F1}">
          <x14:formula1>
            <xm:f>OFFSET(Municipios_DIVIPOLA!$H$1,MATCH(K57,Municipios_DIVIPOLA!H:H,0)-1,1,COUNTIF(Municipios_DIVIPOLA!H:H,K57))</xm:f>
          </x14:formula1>
          <xm:sqref>P57:U58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AXysUZKByN9ItSq3OF64OnHUt4qT//DlliQXy9+cpl90OQnEQmxF36gN4lxc2TQB93+LV0o0yuIpw2xnH+JAkQ==" saltValue="HbnyDk0WM4X07oHes5tVK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x4VDc+PZaKIMYb2MJX8+S1ufxFFIxbFoG5GcHQAhH/eXaB+bCWy5vzcndciZYCh+IQwqD+uXhuBk2AzGI/1q9g==" saltValue="RwPvJoc9A/Ezpb7xJlAIc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MddorJ9zb0LvWnW+Iu4XhjIKSxUPeIeQ6EGStievkchl/9oBc4tkqQhmT5cZw98CZ2o5Zz508uCMZwV04WQiVg==" saltValue="y6vZm8ZLeFt86r+jeJZxj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4304</v>
      </c>
      <c r="B2" t="s">
        <v>4087</v>
      </c>
      <c r="C2" t="s">
        <v>8710</v>
      </c>
      <c r="D2" s="27" t="s">
        <v>3499</v>
      </c>
      <c r="E2" t="s">
        <v>4160</v>
      </c>
      <c r="F2" t="s">
        <v>190</v>
      </c>
      <c r="G2" s="58">
        <v>404055</v>
      </c>
      <c r="H2" s="114">
        <v>1</v>
      </c>
      <c r="I2">
        <v>1</v>
      </c>
      <c r="J2">
        <v>5000</v>
      </c>
      <c r="K2" t="s">
        <v>3116</v>
      </c>
      <c r="L2" t="s">
        <v>3110</v>
      </c>
      <c r="M2" t="s">
        <v>4226</v>
      </c>
    </row>
    <row r="3" spans="1:16">
      <c r="A3" t="s">
        <v>4312</v>
      </c>
      <c r="B3" t="s">
        <v>4087</v>
      </c>
      <c r="C3" t="s">
        <v>8711</v>
      </c>
      <c r="D3" s="27" t="s">
        <v>3501</v>
      </c>
      <c r="E3" t="s">
        <v>4164</v>
      </c>
      <c r="F3" t="s">
        <v>190</v>
      </c>
      <c r="G3" s="58">
        <v>660764.61</v>
      </c>
      <c r="H3" s="114">
        <v>1</v>
      </c>
      <c r="I3">
        <v>1</v>
      </c>
      <c r="J3">
        <v>5000</v>
      </c>
      <c r="K3" t="s">
        <v>3116</v>
      </c>
      <c r="L3" t="s">
        <v>3112</v>
      </c>
      <c r="M3" t="s">
        <v>4226</v>
      </c>
    </row>
    <row r="4" spans="1:16">
      <c r="A4" t="s">
        <v>4314</v>
      </c>
      <c r="B4" t="s">
        <v>4087</v>
      </c>
      <c r="C4" t="s">
        <v>8712</v>
      </c>
      <c r="D4" s="27" t="s">
        <v>3501</v>
      </c>
      <c r="E4" t="s">
        <v>1851</v>
      </c>
      <c r="F4" t="s">
        <v>190</v>
      </c>
      <c r="G4" s="58">
        <v>538740</v>
      </c>
      <c r="H4" s="114">
        <v>1</v>
      </c>
      <c r="I4">
        <v>1</v>
      </c>
      <c r="J4">
        <v>5000</v>
      </c>
      <c r="K4" t="s">
        <v>3116</v>
      </c>
      <c r="L4" t="s">
        <v>3112</v>
      </c>
      <c r="M4" t="s">
        <v>4226</v>
      </c>
    </row>
    <row r="5" spans="1:16">
      <c r="A5" t="s">
        <v>4316</v>
      </c>
      <c r="B5" t="s">
        <v>4087</v>
      </c>
      <c r="C5" t="s">
        <v>8713</v>
      </c>
      <c r="D5" s="27" t="s">
        <v>3501</v>
      </c>
      <c r="E5" t="s">
        <v>4165</v>
      </c>
      <c r="F5" t="s">
        <v>190</v>
      </c>
      <c r="G5" s="58">
        <v>511803</v>
      </c>
      <c r="H5" s="114">
        <v>1</v>
      </c>
      <c r="I5">
        <v>1</v>
      </c>
      <c r="J5">
        <v>5000</v>
      </c>
      <c r="K5" t="s">
        <v>3116</v>
      </c>
      <c r="L5" t="s">
        <v>3112</v>
      </c>
      <c r="M5" t="s">
        <v>4226</v>
      </c>
    </row>
    <row r="6" spans="1:16">
      <c r="A6" t="s">
        <v>4318</v>
      </c>
      <c r="B6" t="s">
        <v>4087</v>
      </c>
      <c r="C6" t="s">
        <v>8714</v>
      </c>
      <c r="D6" s="27" t="s">
        <v>3501</v>
      </c>
      <c r="E6" t="s">
        <v>4166</v>
      </c>
      <c r="F6" t="s">
        <v>190</v>
      </c>
      <c r="G6" s="58">
        <v>435032.55</v>
      </c>
      <c r="H6" s="114">
        <v>1</v>
      </c>
      <c r="I6">
        <v>1</v>
      </c>
      <c r="J6">
        <v>5000</v>
      </c>
      <c r="K6" t="s">
        <v>3116</v>
      </c>
      <c r="L6" t="s">
        <v>3112</v>
      </c>
      <c r="M6" t="s">
        <v>4226</v>
      </c>
    </row>
    <row r="7" spans="1:16">
      <c r="A7" t="s">
        <v>4320</v>
      </c>
      <c r="B7" t="s">
        <v>4087</v>
      </c>
      <c r="C7" t="s">
        <v>8715</v>
      </c>
      <c r="D7" s="27" t="s">
        <v>3501</v>
      </c>
      <c r="E7" t="s">
        <v>4167</v>
      </c>
      <c r="F7" t="s">
        <v>190</v>
      </c>
      <c r="G7" s="58">
        <v>606082.5</v>
      </c>
      <c r="H7" s="114">
        <v>1</v>
      </c>
      <c r="I7">
        <v>1</v>
      </c>
      <c r="J7">
        <v>5000</v>
      </c>
      <c r="K7" t="s">
        <v>3116</v>
      </c>
      <c r="L7" t="s">
        <v>3112</v>
      </c>
      <c r="M7" t="s">
        <v>4226</v>
      </c>
    </row>
    <row r="8" spans="1:16">
      <c r="A8" t="s">
        <v>4322</v>
      </c>
      <c r="B8" t="s">
        <v>4087</v>
      </c>
      <c r="C8" t="s">
        <v>8716</v>
      </c>
      <c r="D8" s="27" t="s">
        <v>3501</v>
      </c>
      <c r="E8" t="s">
        <v>3086</v>
      </c>
      <c r="F8" t="s">
        <v>190</v>
      </c>
      <c r="G8" s="58">
        <v>428298.3</v>
      </c>
      <c r="H8" s="114">
        <v>1</v>
      </c>
      <c r="I8">
        <v>1</v>
      </c>
      <c r="J8">
        <v>5000</v>
      </c>
      <c r="K8" t="s">
        <v>3116</v>
      </c>
      <c r="L8" t="s">
        <v>3112</v>
      </c>
      <c r="M8" t="s">
        <v>4226</v>
      </c>
    </row>
    <row r="9" spans="1:16">
      <c r="A9" t="s">
        <v>4324</v>
      </c>
      <c r="B9" t="s">
        <v>4087</v>
      </c>
      <c r="C9" t="s">
        <v>8717</v>
      </c>
      <c r="D9" s="27" t="s">
        <v>3501</v>
      </c>
      <c r="E9" t="s">
        <v>3087</v>
      </c>
      <c r="F9" t="s">
        <v>190</v>
      </c>
      <c r="G9" s="58">
        <v>430992</v>
      </c>
      <c r="H9" s="114">
        <v>1</v>
      </c>
      <c r="I9">
        <v>1</v>
      </c>
      <c r="J9">
        <v>5000</v>
      </c>
      <c r="K9" t="s">
        <v>3116</v>
      </c>
      <c r="L9" t="s">
        <v>3112</v>
      </c>
      <c r="M9" t="s">
        <v>4226</v>
      </c>
    </row>
    <row r="10" spans="1:16">
      <c r="A10" t="s">
        <v>4328</v>
      </c>
      <c r="B10" t="s">
        <v>4087</v>
      </c>
      <c r="C10" t="s">
        <v>8718</v>
      </c>
      <c r="D10" s="27" t="s">
        <v>3501</v>
      </c>
      <c r="E10" t="s">
        <v>4168</v>
      </c>
      <c r="F10" t="s">
        <v>190</v>
      </c>
      <c r="G10" s="58">
        <v>452541.6</v>
      </c>
      <c r="H10" s="114">
        <v>1</v>
      </c>
      <c r="I10">
        <v>1</v>
      </c>
      <c r="J10">
        <v>5000</v>
      </c>
      <c r="K10" t="s">
        <v>3116</v>
      </c>
      <c r="L10" t="s">
        <v>3112</v>
      </c>
      <c r="M10" t="s">
        <v>4226</v>
      </c>
    </row>
    <row r="11" spans="1:16">
      <c r="G11" s="58"/>
      <c r="H11" s="114"/>
    </row>
    <row r="12" spans="1:16">
      <c r="G12" s="58"/>
      <c r="H12" s="114"/>
    </row>
    <row r="13" spans="1:16">
      <c r="G13" s="58"/>
      <c r="H13" s="114"/>
    </row>
    <row r="14" spans="1:16">
      <c r="G14" s="58"/>
      <c r="H14" s="114"/>
    </row>
    <row r="15" spans="1:16">
      <c r="G15" s="58"/>
      <c r="H15" s="114"/>
    </row>
    <row r="16" spans="1:16">
      <c r="G16" s="58"/>
      <c r="H16" s="114"/>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erE9eG676J9v8ZUfYHivkoneqdnEapnQClKDTcMMFHpqYDL1qluAks/SnBBm6xh3ewpgLk0iBPm9gc31k5VgiQ==" saltValue="IvJacmH/7RU/wWEI+BK/u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S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19" ht="15" thickBot="1">
      <c r="D1" s="154" t="s">
        <v>263</v>
      </c>
      <c r="E1" s="167" t="s">
        <v>3494</v>
      </c>
      <c r="F1" s="167" t="s">
        <v>3129</v>
      </c>
      <c r="G1" t="s">
        <v>3902</v>
      </c>
      <c r="H1" t="s">
        <v>3903</v>
      </c>
      <c r="I1" t="s">
        <v>3496</v>
      </c>
      <c r="J1" s="167" t="s">
        <v>159</v>
      </c>
      <c r="K1" t="s">
        <v>4160</v>
      </c>
      <c r="L1" t="s">
        <v>4164</v>
      </c>
      <c r="M1" t="s">
        <v>1851</v>
      </c>
      <c r="N1" t="s">
        <v>4165</v>
      </c>
      <c r="O1" t="s">
        <v>4166</v>
      </c>
      <c r="P1" t="s">
        <v>4167</v>
      </c>
      <c r="Q1" t="s">
        <v>3086</v>
      </c>
      <c r="R1" t="s">
        <v>3087</v>
      </c>
      <c r="S1" t="s">
        <v>4168</v>
      </c>
    </row>
    <row r="2" spans="3:19" ht="84">
      <c r="C2" t="s">
        <v>8719</v>
      </c>
      <c r="D2" s="155">
        <f>IFERROR(IF(D1="Ítem",1,ROW()-ROW(SolCotizacion!#REF!)),ROW()-ROW(SolCotizacion!#REF!))</f>
        <v>1</v>
      </c>
      <c r="E2" s="168" t="str">
        <f>+SolCotizacion!$I$28</f>
        <v>min03-P1</v>
      </c>
      <c r="F2" s="155" t="str">
        <f>+SolCotizacion!$L$28</f>
        <v>BOTA DE COMBATE MEDIA CAÑA EN CUERO SISTEMA VULCANIZADO E INYECCIÓN DIRECTA_según NTMD vigente</v>
      </c>
      <c r="G2" t="s">
        <v>8720</v>
      </c>
      <c r="H2" t="s">
        <v>8721</v>
      </c>
      <c r="I2" t="s">
        <v>190</v>
      </c>
      <c r="J2" s="169">
        <v>145</v>
      </c>
      <c r="K2" s="104">
        <v>58587975</v>
      </c>
      <c r="L2" s="104">
        <v>95810868.450000003</v>
      </c>
      <c r="M2" s="104">
        <v>78117300</v>
      </c>
      <c r="N2" s="104">
        <v>74211435</v>
      </c>
      <c r="O2" s="104">
        <v>63079719.75</v>
      </c>
      <c r="P2" s="104">
        <v>87881962.5</v>
      </c>
      <c r="Q2" s="104">
        <v>62103253.5</v>
      </c>
      <c r="R2" s="104">
        <v>62493840</v>
      </c>
      <c r="S2" s="104">
        <v>65618532</v>
      </c>
    </row>
    <row r="3" spans="3:19" s="104" customFormat="1">
      <c r="D3" s="148"/>
      <c r="E3" s="148"/>
      <c r="F3" s="148"/>
      <c r="J3" s="148" t="s">
        <v>1353</v>
      </c>
      <c r="K3" s="104">
        <v>58587975</v>
      </c>
      <c r="L3" s="104">
        <v>95810868.450000003</v>
      </c>
      <c r="M3" s="104">
        <v>78117300</v>
      </c>
      <c r="N3" s="104">
        <v>74211435</v>
      </c>
      <c r="O3" s="104">
        <v>63079719.75</v>
      </c>
      <c r="P3" s="104">
        <v>87881962.5</v>
      </c>
      <c r="Q3" s="104">
        <v>62103253.5</v>
      </c>
      <c r="R3" s="104">
        <v>62493840</v>
      </c>
      <c r="S3" s="104">
        <v>65618532</v>
      </c>
    </row>
    <row r="4" spans="3:19">
      <c r="J4" t="s">
        <v>1443</v>
      </c>
      <c r="K4" t="s">
        <v>1445</v>
      </c>
      <c r="L4" t="s">
        <v>1445</v>
      </c>
      <c r="M4" t="s">
        <v>1445</v>
      </c>
      <c r="N4" t="s">
        <v>1445</v>
      </c>
      <c r="O4" t="s">
        <v>1445</v>
      </c>
      <c r="P4" t="s">
        <v>1445</v>
      </c>
      <c r="Q4" t="s">
        <v>1445</v>
      </c>
      <c r="R4" t="s">
        <v>1445</v>
      </c>
      <c r="S4" t="s">
        <v>1445</v>
      </c>
    </row>
    <row r="5" spans="3:19">
      <c r="J5" t="s">
        <v>1444</v>
      </c>
      <c r="K5" t="s">
        <v>3911</v>
      </c>
      <c r="L5" t="s">
        <v>3911</v>
      </c>
      <c r="M5" t="s">
        <v>3911</v>
      </c>
      <c r="N5" t="s">
        <v>3911</v>
      </c>
      <c r="O5" t="s">
        <v>3911</v>
      </c>
      <c r="P5" t="s">
        <v>3911</v>
      </c>
      <c r="Q5" t="s">
        <v>3911</v>
      </c>
      <c r="R5" t="s">
        <v>3911</v>
      </c>
      <c r="S5" t="s">
        <v>3911</v>
      </c>
    </row>
  </sheetData>
  <sheetProtection algorithmName="SHA-512" hashValue="UJaDh+WyecwYY6SGbz4XDIyPv31/wtLij7I6Y0MJD2VjFtNiE6OAMX5wG4ZxbjktULtXRNWVhUDy/XE9D1HWgw==" saltValue="xT74Iah5KRv4VLCg9Nom+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YbEV1CjgMeBlUm9uJvQBMsSGFNcr4MkimTvG2Te+lh4biyQ6JitjQgAMPpN/LlPI799EIRYBKaTkC90sxSGPBw==" saltValue="UOJefysg6t+z1Ux1waWIa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Wsmbr/BvK4I1sN38kCe8+zdINqpLsm4hueeVTTCwDZftVvdUs3qx9uG/X79hJU9AzXvXAoqe1sKZS+M1ITdVlQ==" saltValue="fDw1EfFVFdW7QmvgzeqRf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Xq2HmjKN4a95+67O0QP/DYX3n6+im5efSna1InzHIIRRb+rBV3x6osvROAhoH07BFhcjctNXjiCK2R4L5zvYg==" saltValue="xMbGOA7Efn9Q+642B9V1Y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Grh7MK8ijJu/BtbKehDeYhj6GhYz27lcff6PoDmq2DIlVBs3BgqrlIHUjly0QmndU/mCPCDsKgDzwL0C49jdnA==" saltValue="aoNnRAKKJXsvN6MDx8xzjw=="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uVcK5aJohcEe846rnbLPGJWj6YjudzuHMBqzWjh7dLZmbizW9YsxToPqEABKM6DOUGeIU2aK7aV61k+d6ueeJw==" saltValue="5abNGTdQa5AsB8v5aXWch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79o20NoSj3rdEMUwfBVWE7tntjY/Do7LucIaXM5JpB9leSSw0y8GmgFMqDSx4u4RssJbZRrh4nJw6aW+9E/bAw==" saltValue="HN9XIerpP92RJTcmJbvrhA=="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y1+dKfAXVd0P4+tcwPSLKrkVhMezJTHfLd8PpwTeHk7UdF5Owqd+xMARHXNKOnUGUNlgoDgbAgFfw4GtHbrWEg==" saltValue="aDsHkOVIAwUXlI7IgkEnf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8722</v>
      </c>
      <c r="C2" s="27" t="s">
        <v>3116</v>
      </c>
      <c r="D2" s="27" t="s">
        <v>8723</v>
      </c>
      <c r="E2" s="27" t="s">
        <v>190</v>
      </c>
      <c r="F2" s="27" t="s">
        <v>8725</v>
      </c>
      <c r="G2" s="27" t="s">
        <v>191</v>
      </c>
    </row>
    <row r="3" spans="1:7">
      <c r="A3" s="27" t="s">
        <v>1364</v>
      </c>
      <c r="B3" s="27" t="s">
        <v>1365</v>
      </c>
      <c r="C3" s="27" t="s">
        <v>189</v>
      </c>
      <c r="D3" s="27" t="s">
        <v>8724</v>
      </c>
      <c r="E3" s="27" t="s">
        <v>190</v>
      </c>
      <c r="F3" s="27" t="s">
        <v>3913</v>
      </c>
      <c r="G3" s="27" t="s">
        <v>191</v>
      </c>
    </row>
  </sheetData>
  <sheetProtection algorithmName="SHA-512" hashValue="jpbvXH/8cLm4CCxAukQzHu5AecybS4x+gCDNBulwTwcEO8C4Lf0x21v8LxCtz309BzcblWSnLaJRyVsXGOQepA==" saltValue="/hTqBdE3rAMpUl0kVsH9W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8726</v>
      </c>
    </row>
    <row r="3" spans="1:1">
      <c r="A3" s="27" t="s">
        <v>8727</v>
      </c>
    </row>
  </sheetData>
  <sheetProtection algorithmName="SHA-512" hashValue="e3os7Te49jT9Bznvyu3JVLHSytb5g0Ptfbx2O6tg2BwXJd4rMg+ULZ88/xK1Jaa2h0KGkWuDfWtLDHFx1O7iOg==" saltValue="mlT3MVxk4ODlZtThjKrzI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Ty2B9whbB0M/gwaB/2XPzpzZTFW4t065/CsS9M/cKy9JmkiEaT0agJ9qCemec+Q68D7GiDyRbYUlsjBlZUUArw==" saltValue="etd2zzIxFsdSKXAqvASfx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4"/>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60" t="s">
        <v>1388</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4.25" customHeight="1">
      <c r="A2" s="61"/>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3" ht="14.25" customHeight="1">
      <c r="A3" s="62"/>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3" ht="14.25" customHeight="1">
      <c r="A4" s="63"/>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3" ht="14.25" hidden="1" customHeight="1">
      <c r="A5" s="209" t="s">
        <v>170</v>
      </c>
      <c r="F5" s="262" t="s">
        <v>3909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ht="14.25" customHeight="1">
      <c r="A6" s="210"/>
    </row>
    <row r="7" spans="1:33" ht="14.25" hidden="1" customHeight="1">
      <c r="A7" s="211"/>
    </row>
    <row r="8" spans="1:33" ht="14.25" hidden="1" customHeight="1">
      <c r="A8" s="212" t="s">
        <v>162</v>
      </c>
    </row>
    <row r="9" spans="1:33" ht="14.25" hidden="1" customHeight="1">
      <c r="A9" s="213"/>
    </row>
    <row r="10" spans="1:33" ht="27.95" customHeight="1">
      <c r="A10" s="219" t="s">
        <v>163</v>
      </c>
      <c r="B10" s="32"/>
      <c r="F10" s="244" t="s">
        <v>105</v>
      </c>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row>
    <row r="11" spans="1:33" ht="4.5" customHeight="1">
      <c r="A11" s="219"/>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0" t="s">
        <v>259</v>
      </c>
      <c r="B12" s="32"/>
      <c r="F12" s="214" t="s">
        <v>106</v>
      </c>
      <c r="G12" s="215"/>
      <c r="H12" s="215"/>
      <c r="I12" s="215"/>
      <c r="J12" s="216"/>
      <c r="K12" s="341" t="s">
        <v>8688</v>
      </c>
      <c r="L12" s="342"/>
      <c r="M12" s="342"/>
      <c r="N12" s="342"/>
      <c r="O12" s="342"/>
      <c r="P12" s="342"/>
      <c r="Q12" s="342"/>
      <c r="R12" s="342"/>
      <c r="S12" s="342"/>
      <c r="T12" s="235" t="s">
        <v>107</v>
      </c>
      <c r="U12" s="236"/>
      <c r="V12" s="236"/>
      <c r="W12" s="236"/>
      <c r="X12" s="236"/>
      <c r="Y12" s="344">
        <v>800130690</v>
      </c>
      <c r="Z12" s="344"/>
      <c r="AA12" s="344"/>
      <c r="AB12" s="344"/>
      <c r="AC12" s="344"/>
      <c r="AD12" s="344"/>
      <c r="AE12" s="344"/>
      <c r="AF12" s="344"/>
      <c r="AG12" s="344"/>
    </row>
    <row r="13" spans="1:33" ht="3.75" customHeight="1">
      <c r="A13" s="220"/>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06" t="s">
        <v>164</v>
      </c>
      <c r="B14" s="32"/>
      <c r="F14" s="214" t="s">
        <v>108</v>
      </c>
      <c r="G14" s="215"/>
      <c r="H14" s="215"/>
      <c r="I14" s="215"/>
      <c r="J14" s="216"/>
      <c r="K14" s="341" t="s">
        <v>8689</v>
      </c>
      <c r="L14" s="342"/>
      <c r="M14" s="342"/>
      <c r="N14" s="342"/>
      <c r="O14" s="342"/>
      <c r="P14" s="342"/>
      <c r="Q14" s="342"/>
      <c r="R14" s="342"/>
      <c r="S14" s="342"/>
      <c r="T14" s="214" t="s">
        <v>156</v>
      </c>
      <c r="U14" s="215"/>
      <c r="V14" s="215"/>
      <c r="W14" s="215"/>
      <c r="X14" s="215"/>
      <c r="Y14" s="343" t="s">
        <v>2866</v>
      </c>
      <c r="Z14" s="343"/>
      <c r="AA14" s="343"/>
      <c r="AB14" s="343"/>
      <c r="AC14" s="343"/>
      <c r="AD14" s="343"/>
      <c r="AE14" s="343"/>
      <c r="AF14" s="343"/>
      <c r="AG14" s="343"/>
    </row>
    <row r="15" spans="1:33" ht="2.25" customHeight="1">
      <c r="A15" s="206"/>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34" t="s">
        <v>165</v>
      </c>
      <c r="B16" s="32"/>
      <c r="F16" s="235" t="s">
        <v>110</v>
      </c>
      <c r="G16" s="236"/>
      <c r="H16" s="236"/>
      <c r="I16" s="236"/>
      <c r="J16" s="236"/>
      <c r="K16" s="341" t="s">
        <v>8690</v>
      </c>
      <c r="L16" s="342"/>
      <c r="M16" s="342"/>
      <c r="N16" s="342"/>
      <c r="O16" s="342"/>
      <c r="P16" s="342"/>
      <c r="Q16" s="342"/>
      <c r="R16" s="342"/>
      <c r="S16" s="342"/>
      <c r="T16" s="242" t="s">
        <v>109</v>
      </c>
      <c r="U16" s="243"/>
      <c r="V16" s="243"/>
      <c r="W16" s="243"/>
      <c r="X16" s="243"/>
      <c r="Y16" s="344">
        <v>3234801420</v>
      </c>
      <c r="Z16" s="344"/>
      <c r="AA16" s="344"/>
      <c r="AB16" s="344"/>
      <c r="AC16" s="344"/>
      <c r="AD16" s="344"/>
      <c r="AE16" s="344"/>
      <c r="AF16" s="344"/>
      <c r="AG16" s="344"/>
    </row>
    <row r="17" spans="1:49" ht="3" customHeight="1">
      <c r="A17" s="213"/>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06" t="s">
        <v>166</v>
      </c>
      <c r="B18" s="71"/>
      <c r="F18" s="240" t="s">
        <v>111</v>
      </c>
      <c r="G18" s="241"/>
      <c r="H18" s="241"/>
      <c r="I18" s="241"/>
      <c r="J18" s="241"/>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06"/>
      <c r="B19" s="32"/>
      <c r="F19" s="11"/>
      <c r="G19" s="11"/>
      <c r="H19" s="11"/>
      <c r="I19" s="11"/>
      <c r="J19" s="11"/>
    </row>
    <row r="20" spans="1:49" ht="27.95" customHeight="1">
      <c r="A20" s="234" t="s">
        <v>167</v>
      </c>
      <c r="B20" s="32"/>
      <c r="F20" s="244" t="s">
        <v>3125</v>
      </c>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row>
    <row r="21" spans="1:49" ht="4.5" customHeight="1">
      <c r="A21" s="213"/>
      <c r="B21" s="32"/>
    </row>
    <row r="22" spans="1:49" ht="13.9" customHeight="1">
      <c r="A22" s="206" t="s">
        <v>1366</v>
      </c>
      <c r="B22" s="69"/>
      <c r="C22" s="16"/>
      <c r="D22" s="16"/>
      <c r="F22" s="228" t="s">
        <v>3126</v>
      </c>
      <c r="G22" s="229"/>
      <c r="H22" s="230"/>
      <c r="I22" s="329" t="s">
        <v>8692</v>
      </c>
      <c r="J22" s="330"/>
      <c r="K22" s="330"/>
      <c r="L22" s="331"/>
      <c r="M22" s="17"/>
      <c r="N22" s="228" t="s">
        <v>3918</v>
      </c>
      <c r="O22" s="229"/>
      <c r="P22" s="230"/>
      <c r="Q22" s="329" t="s">
        <v>1374</v>
      </c>
      <c r="R22" s="330"/>
      <c r="S22" s="331"/>
      <c r="T22" s="17"/>
      <c r="U22" s="228" t="s">
        <v>276</v>
      </c>
      <c r="V22" s="229"/>
      <c r="W22" s="230"/>
      <c r="X22" s="329" t="s">
        <v>8708</v>
      </c>
      <c r="Y22" s="330"/>
      <c r="Z22" s="331"/>
      <c r="AA22" s="17"/>
      <c r="AB22" s="228" t="s">
        <v>112</v>
      </c>
      <c r="AC22" s="229"/>
      <c r="AD22" s="230"/>
      <c r="AE22" s="335">
        <v>63484625</v>
      </c>
      <c r="AF22" s="336"/>
      <c r="AG22" s="337"/>
    </row>
    <row r="23" spans="1:49" ht="14.25" customHeight="1">
      <c r="A23" s="207"/>
      <c r="B23" s="32"/>
      <c r="F23" s="231"/>
      <c r="G23" s="232"/>
      <c r="H23" s="233"/>
      <c r="I23" s="332"/>
      <c r="J23" s="333"/>
      <c r="K23" s="333"/>
      <c r="L23" s="334"/>
      <c r="M23" s="17"/>
      <c r="N23" s="231"/>
      <c r="O23" s="232"/>
      <c r="P23" s="233"/>
      <c r="Q23" s="332"/>
      <c r="R23" s="333"/>
      <c r="S23" s="334"/>
      <c r="T23" s="17"/>
      <c r="U23" s="231"/>
      <c r="V23" s="232"/>
      <c r="W23" s="233"/>
      <c r="X23" s="332"/>
      <c r="Y23" s="333"/>
      <c r="Z23" s="334"/>
      <c r="AA23" s="17"/>
      <c r="AB23" s="231"/>
      <c r="AC23" s="232"/>
      <c r="AD23" s="233"/>
      <c r="AE23" s="338"/>
      <c r="AF23" s="339"/>
      <c r="AG23" s="340"/>
    </row>
    <row r="24" spans="1:49" ht="15" customHeight="1">
      <c r="A24" s="221"/>
      <c r="B24" s="32"/>
      <c r="F24" s="11"/>
      <c r="G24" s="11"/>
      <c r="H24" s="11"/>
      <c r="I24" s="11"/>
      <c r="J24" s="11"/>
    </row>
    <row r="25" spans="1:49" ht="45" customHeight="1">
      <c r="A25" s="221"/>
      <c r="B25" s="32"/>
      <c r="F25" s="280" t="s">
        <v>8709</v>
      </c>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2"/>
    </row>
    <row r="26" spans="1:49" ht="14.25" customHeight="1" thickBot="1">
      <c r="A26" s="208"/>
      <c r="B26" s="32"/>
    </row>
    <row r="27" spans="1:49" ht="14.25" hidden="1" customHeight="1">
      <c r="A27" s="208"/>
      <c r="B27" s="32"/>
      <c r="F27" s="11"/>
      <c r="G27" s="11"/>
      <c r="H27" s="11"/>
      <c r="I27" s="11"/>
      <c r="J27" s="11"/>
    </row>
    <row r="28" spans="1:49" ht="14.25" hidden="1" customHeight="1">
      <c r="A28" s="103"/>
      <c r="B28" s="32"/>
      <c r="F28" s="228" t="s">
        <v>4086</v>
      </c>
      <c r="G28" s="229"/>
      <c r="H28" s="230"/>
      <c r="I28" s="317" t="s">
        <v>4087</v>
      </c>
      <c r="J28" s="317"/>
      <c r="K28" s="317"/>
      <c r="L28" s="222" t="s">
        <v>4226</v>
      </c>
      <c r="M28" s="223"/>
      <c r="N28" s="223"/>
      <c r="O28" s="223"/>
      <c r="P28" s="223"/>
      <c r="Q28" s="223"/>
      <c r="R28" s="223"/>
      <c r="S28" s="223"/>
      <c r="T28" s="223"/>
      <c r="U28" s="223"/>
      <c r="V28" s="223"/>
      <c r="W28" s="223"/>
      <c r="X28" s="223"/>
      <c r="Y28" s="223"/>
      <c r="Z28" s="223"/>
      <c r="AA28" s="223"/>
      <c r="AB28" s="223"/>
      <c r="AC28" s="223"/>
      <c r="AD28" s="223"/>
      <c r="AE28" s="223"/>
      <c r="AF28" s="223"/>
      <c r="AG28" s="224"/>
    </row>
    <row r="29" spans="1:49" ht="14.25" hidden="1" customHeight="1">
      <c r="A29" s="103"/>
      <c r="B29" s="32"/>
      <c r="F29" s="231"/>
      <c r="G29" s="232"/>
      <c r="H29" s="233"/>
      <c r="I29" s="317"/>
      <c r="J29" s="317"/>
      <c r="K29" s="317"/>
      <c r="L29" s="225"/>
      <c r="M29" s="226"/>
      <c r="N29" s="226"/>
      <c r="O29" s="226"/>
      <c r="P29" s="226"/>
      <c r="Q29" s="226"/>
      <c r="R29" s="226"/>
      <c r="S29" s="226"/>
      <c r="T29" s="226"/>
      <c r="U29" s="226"/>
      <c r="V29" s="226"/>
      <c r="W29" s="226"/>
      <c r="X29" s="226"/>
      <c r="Y29" s="226"/>
      <c r="Z29" s="226"/>
      <c r="AA29" s="226"/>
      <c r="AB29" s="226"/>
      <c r="AC29" s="226"/>
      <c r="AD29" s="226"/>
      <c r="AE29" s="226"/>
      <c r="AF29" s="226"/>
      <c r="AG29" s="227"/>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18" t="s">
        <v>3494</v>
      </c>
      <c r="H33" s="318"/>
      <c r="I33" s="318"/>
      <c r="J33" s="318" t="s">
        <v>3129</v>
      </c>
      <c r="K33" s="318"/>
      <c r="L33" s="318"/>
      <c r="M33" s="318"/>
      <c r="N33" s="318"/>
      <c r="O33" s="318"/>
      <c r="P33" s="318"/>
      <c r="Q33" s="318"/>
      <c r="R33" s="318"/>
      <c r="S33" s="318"/>
      <c r="T33" s="318"/>
      <c r="U33" s="318" t="s">
        <v>159</v>
      </c>
      <c r="V33" s="318"/>
      <c r="W33" s="318"/>
      <c r="X33" s="319" t="s">
        <v>3489</v>
      </c>
      <c r="Y33" s="319"/>
      <c r="Z33" s="320"/>
      <c r="AA33" s="318" t="s">
        <v>3490</v>
      </c>
      <c r="AB33" s="318"/>
      <c r="AC33" s="318"/>
      <c r="AD33" s="318" t="s">
        <v>1352</v>
      </c>
      <c r="AE33" s="318"/>
      <c r="AF33" s="318"/>
      <c r="AG33" s="318"/>
    </row>
    <row r="34" spans="1:36" ht="45" customHeight="1">
      <c r="A34" s="103"/>
      <c r="B34" s="32"/>
      <c r="F34" s="155">
        <f>IFERROR(IF(F33="Ítem",1,ROW()-ROW(SolCotizacion!#REF!)),ROW()-ROW(SolCotizacion!#REF!))</f>
        <v>1</v>
      </c>
      <c r="G34" s="316" t="str">
        <f>+SolCotizacion!$I$28</f>
        <v>min03-P1</v>
      </c>
      <c r="H34" s="316"/>
      <c r="I34" s="316"/>
      <c r="J34" s="321" t="str">
        <f>+SolCotizacion!$L$28</f>
        <v>BOTA DE COMBATE MEDIA CAÑA EN CUERO SISTEMA VULCANIZADO E INYECCIÓN DIRECTA_según NTMD vigente</v>
      </c>
      <c r="K34" s="321"/>
      <c r="L34" s="321"/>
      <c r="M34" s="321"/>
      <c r="N34" s="321"/>
      <c r="O34" s="321"/>
      <c r="P34" s="321"/>
      <c r="Q34" s="321"/>
      <c r="R34" s="321"/>
      <c r="S34" s="321"/>
      <c r="T34" s="321"/>
      <c r="U34" s="322">
        <v>145</v>
      </c>
      <c r="V34" s="322"/>
      <c r="W34" s="322"/>
      <c r="X34" s="314">
        <f>+IFERROR(ROUND(VLOOKUP(F34&amp;"_"&amp;G34,Cat_resumido!$C:$DE,Var!$F$2-2,FALSE)/U34,2),"")</f>
        <v>404055</v>
      </c>
      <c r="Y34" s="314"/>
      <c r="Z34" s="314"/>
      <c r="AA34" s="314">
        <f ca="1">+IFERROR(ROUND(X34/(1-Var!$F$3),0),"")</f>
        <v>408136</v>
      </c>
      <c r="AB34" s="314"/>
      <c r="AC34" s="314"/>
      <c r="AD34" s="323">
        <f ca="1">IFERROR(ROUND(U34*AA34,2),"")</f>
        <v>59179720</v>
      </c>
      <c r="AE34" s="324"/>
      <c r="AF34" s="324"/>
      <c r="AG34" s="325"/>
    </row>
    <row r="35" spans="1:36" ht="30" customHeight="1">
      <c r="A35" s="61"/>
      <c r="B35" s="32"/>
      <c r="F35" s="11"/>
      <c r="G35" s="11"/>
      <c r="H35" s="11"/>
      <c r="I35" s="11"/>
      <c r="J35" s="11"/>
      <c r="AA35" s="205" t="s">
        <v>1323</v>
      </c>
      <c r="AB35" s="205"/>
      <c r="AC35" s="205"/>
      <c r="AD35" s="314">
        <f ca="1">+SUM(OFFSET(AA$1,0,3,MATCH("Subtotal",AA:AA,0)-1))</f>
        <v>59179720</v>
      </c>
      <c r="AE35" s="314"/>
      <c r="AF35" s="314"/>
      <c r="AG35" s="314"/>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205" t="s">
        <v>1324</v>
      </c>
      <c r="AB36" s="205"/>
      <c r="AC36" s="205"/>
      <c r="AD36" s="315">
        <f ca="1">+ROUND(AD35*0.19,2)</f>
        <v>11244146.800000001</v>
      </c>
      <c r="AE36" s="315"/>
      <c r="AF36" s="315"/>
      <c r="AG36" s="315"/>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05" t="s">
        <v>1325</v>
      </c>
      <c r="AB37" s="205"/>
      <c r="AC37" s="205"/>
      <c r="AD37" s="314">
        <f ca="1">+AD36+AD35</f>
        <v>70423866.799999997</v>
      </c>
      <c r="AE37" s="314"/>
      <c r="AF37" s="314"/>
      <c r="AG37" s="314"/>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06"/>
      <c r="H40" s="306"/>
      <c r="I40" s="306"/>
      <c r="J40" s="306"/>
      <c r="K40" s="306"/>
      <c r="L40" s="306"/>
      <c r="M40" s="306"/>
      <c r="N40" s="306"/>
      <c r="O40" s="313" t="s">
        <v>1311</v>
      </c>
      <c r="P40" s="313"/>
      <c r="Q40" s="313"/>
      <c r="R40" s="313"/>
      <c r="S40" s="313"/>
      <c r="T40" s="313"/>
      <c r="U40" s="313"/>
      <c r="V40" s="313"/>
      <c r="W40" s="313"/>
      <c r="X40" s="313"/>
      <c r="Y40" s="313"/>
      <c r="Z40" s="313"/>
      <c r="AA40" s="313"/>
      <c r="AB40" s="313"/>
      <c r="AC40" s="313"/>
      <c r="AD40" s="313"/>
      <c r="AE40" s="313"/>
      <c r="AF40" s="313"/>
      <c r="AG40" s="313"/>
      <c r="AH40" s="171"/>
    </row>
    <row r="41" spans="1:36" ht="27.95" customHeight="1">
      <c r="A41" s="61"/>
      <c r="B41" s="32"/>
      <c r="F41" s="284" t="s">
        <v>3907</v>
      </c>
      <c r="G41" s="306"/>
      <c r="H41" s="306"/>
      <c r="I41" s="306"/>
      <c r="J41" s="306"/>
      <c r="K41" s="306"/>
      <c r="L41" s="306"/>
      <c r="M41" s="306"/>
      <c r="N41" s="306"/>
      <c r="O41" s="313" t="s">
        <v>8701</v>
      </c>
      <c r="P41" s="313"/>
      <c r="Q41" s="313"/>
      <c r="R41" s="313"/>
      <c r="S41" s="313"/>
      <c r="T41" s="313"/>
      <c r="U41" s="313"/>
      <c r="V41" s="313"/>
      <c r="W41" s="313"/>
      <c r="X41" s="313"/>
      <c r="Y41" s="313"/>
      <c r="Z41" s="313"/>
      <c r="AA41" s="313"/>
      <c r="AB41" s="313"/>
      <c r="AC41" s="313"/>
      <c r="AD41" s="313"/>
      <c r="AE41" s="313"/>
      <c r="AF41" s="313"/>
      <c r="AG41" s="313"/>
      <c r="AH41" s="171"/>
    </row>
    <row r="42" spans="1:36" ht="21" customHeight="1">
      <c r="A42" s="61"/>
      <c r="B42" s="32"/>
      <c r="F42" s="284" t="s">
        <v>3284</v>
      </c>
      <c r="G42" s="306"/>
      <c r="H42" s="306"/>
      <c r="I42" s="306"/>
      <c r="J42" s="306"/>
      <c r="K42" s="306"/>
      <c r="L42" s="306"/>
      <c r="M42" s="306"/>
      <c r="N42" s="306"/>
      <c r="O42" s="307" t="s">
        <v>8701</v>
      </c>
      <c r="P42" s="307"/>
      <c r="Q42" s="307"/>
      <c r="R42" s="307"/>
      <c r="S42" s="307"/>
      <c r="T42" s="307"/>
      <c r="U42" s="307"/>
      <c r="V42" s="307"/>
      <c r="W42" s="307"/>
      <c r="X42" s="307"/>
      <c r="Y42" s="307"/>
      <c r="Z42" s="307"/>
      <c r="AA42" s="307"/>
      <c r="AB42" s="307"/>
      <c r="AC42" s="307"/>
      <c r="AD42" s="307"/>
      <c r="AE42" s="307"/>
      <c r="AF42" s="307"/>
      <c r="AG42" s="307"/>
      <c r="AH42" s="171"/>
    </row>
    <row r="43" spans="1:36" ht="21" customHeight="1">
      <c r="A43" s="61"/>
      <c r="B43" s="32"/>
      <c r="F43" s="285" t="s">
        <v>3908</v>
      </c>
      <c r="G43" s="308"/>
      <c r="H43" s="308"/>
      <c r="I43" s="308"/>
      <c r="J43" s="308"/>
      <c r="K43" s="308"/>
      <c r="L43" s="308"/>
      <c r="M43" s="308"/>
      <c r="N43" s="309"/>
      <c r="O43" s="310" t="s">
        <v>8701</v>
      </c>
      <c r="P43" s="311"/>
      <c r="Q43" s="311"/>
      <c r="R43" s="311"/>
      <c r="S43" s="311"/>
      <c r="T43" s="311"/>
      <c r="U43" s="311"/>
      <c r="V43" s="311"/>
      <c r="W43" s="311"/>
      <c r="X43" s="311"/>
      <c r="Y43" s="311"/>
      <c r="Z43" s="311"/>
      <c r="AA43" s="311"/>
      <c r="AB43" s="311"/>
      <c r="AC43" s="311"/>
      <c r="AD43" s="311"/>
      <c r="AE43" s="311"/>
      <c r="AF43" s="311"/>
      <c r="AG43" s="312"/>
      <c r="AH43" s="171"/>
    </row>
    <row r="44" spans="1:36" ht="14.25" hidden="1" customHeight="1">
      <c r="A44"/>
    </row>
    <row r="45" spans="1:36" ht="30.75" customHeight="1">
      <c r="A45" s="61"/>
      <c r="B45" s="32"/>
      <c r="F45" s="197" t="s">
        <v>4071</v>
      </c>
      <c r="G45" s="197"/>
      <c r="H45" s="197"/>
      <c r="I45" s="197"/>
      <c r="J45" s="197"/>
      <c r="K45" s="197"/>
      <c r="L45" s="197"/>
      <c r="M45" s="197"/>
      <c r="N45" s="197"/>
      <c r="O45" s="198"/>
      <c r="P45" s="197"/>
      <c r="Q45" s="197"/>
      <c r="R45" s="197"/>
      <c r="S45" s="197"/>
      <c r="T45" s="197"/>
      <c r="U45" s="197"/>
      <c r="V45" s="197"/>
      <c r="W45" s="197"/>
      <c r="X45" s="197"/>
      <c r="Y45" s="197"/>
      <c r="Z45" s="197"/>
      <c r="AA45" s="197"/>
      <c r="AB45" s="197"/>
      <c r="AC45" s="197"/>
      <c r="AD45" s="197"/>
      <c r="AE45" s="197"/>
      <c r="AF45" s="197"/>
      <c r="AG45" s="197"/>
    </row>
    <row r="46" spans="1:36">
      <c r="A46" s="61"/>
      <c r="B46" s="32"/>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44" t="s">
        <v>3119</v>
      </c>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row>
    <row r="49" spans="1:33">
      <c r="A49" s="61"/>
      <c r="B49" s="32"/>
    </row>
    <row r="50" spans="1:33" ht="24" customHeight="1">
      <c r="A50" s="61"/>
      <c r="B50" s="32" t="s">
        <v>3904</v>
      </c>
      <c r="F50" s="245" t="s">
        <v>3120</v>
      </c>
      <c r="G50" s="246"/>
      <c r="H50" s="247" t="s">
        <v>3121</v>
      </c>
      <c r="I50" s="248"/>
      <c r="J50" s="248"/>
      <c r="K50" s="199" t="s">
        <v>1</v>
      </c>
      <c r="L50" s="200"/>
      <c r="M50" s="200"/>
      <c r="N50" s="200"/>
      <c r="O50" s="201"/>
      <c r="P50" s="199" t="s">
        <v>3123</v>
      </c>
      <c r="Q50" s="200"/>
      <c r="R50" s="200"/>
      <c r="S50" s="200"/>
      <c r="T50" s="200"/>
      <c r="U50" s="201"/>
      <c r="V50" s="199" t="s">
        <v>3122</v>
      </c>
      <c r="W50" s="200"/>
      <c r="X50" s="200"/>
      <c r="Y50" s="200"/>
      <c r="Z50" s="200"/>
      <c r="AA50" s="200"/>
      <c r="AB50" s="200"/>
      <c r="AC50" s="200"/>
      <c r="AD50" s="200"/>
      <c r="AE50" s="201"/>
      <c r="AF50" s="199" t="s">
        <v>159</v>
      </c>
      <c r="AG50" s="200"/>
    </row>
    <row r="51" spans="1:33">
      <c r="A51" s="61"/>
      <c r="B51" s="32"/>
      <c r="F51" s="298">
        <v>1</v>
      </c>
      <c r="G51" s="299"/>
      <c r="H51" s="300">
        <v>46219</v>
      </c>
      <c r="I51" s="300"/>
      <c r="J51" s="300"/>
      <c r="K51" s="301" t="s">
        <v>1778</v>
      </c>
      <c r="L51" s="301"/>
      <c r="M51" s="301"/>
      <c r="N51" s="301"/>
      <c r="O51" s="301"/>
      <c r="P51" s="301" t="s">
        <v>1260</v>
      </c>
      <c r="Q51" s="301"/>
      <c r="R51" s="301"/>
      <c r="S51" s="301"/>
      <c r="T51" s="301"/>
      <c r="U51" s="301"/>
      <c r="V51" s="301" t="s">
        <v>8702</v>
      </c>
      <c r="W51" s="301"/>
      <c r="X51" s="301"/>
      <c r="Y51" s="301"/>
      <c r="Z51" s="301"/>
      <c r="AA51" s="301"/>
      <c r="AB51" s="301"/>
      <c r="AC51" s="301"/>
      <c r="AD51" s="301"/>
      <c r="AE51" s="301"/>
      <c r="AF51" s="297">
        <v>30</v>
      </c>
      <c r="AG51" s="297"/>
    </row>
    <row r="52" spans="1:33">
      <c r="A52" s="61"/>
      <c r="B52" s="32"/>
      <c r="F52" s="298">
        <v>2</v>
      </c>
      <c r="G52" s="299"/>
      <c r="H52" s="300">
        <v>46219</v>
      </c>
      <c r="I52" s="300"/>
      <c r="J52" s="300"/>
      <c r="K52" s="301" t="s">
        <v>1778</v>
      </c>
      <c r="L52" s="301"/>
      <c r="M52" s="301"/>
      <c r="N52" s="301"/>
      <c r="O52" s="301"/>
      <c r="P52" s="301" t="s">
        <v>1260</v>
      </c>
      <c r="Q52" s="301"/>
      <c r="R52" s="301"/>
      <c r="S52" s="301"/>
      <c r="T52" s="301"/>
      <c r="U52" s="301"/>
      <c r="V52" s="301" t="s">
        <v>8703</v>
      </c>
      <c r="W52" s="301"/>
      <c r="X52" s="301"/>
      <c r="Y52" s="301"/>
      <c r="Z52" s="301"/>
      <c r="AA52" s="301"/>
      <c r="AB52" s="301"/>
      <c r="AC52" s="301"/>
      <c r="AD52" s="301"/>
      <c r="AE52" s="301"/>
      <c r="AF52" s="297">
        <v>115</v>
      </c>
      <c r="AG52" s="297"/>
    </row>
    <row r="53" spans="1:33" ht="6.75" customHeight="1">
      <c r="A53" s="61"/>
      <c r="B53" s="32"/>
      <c r="F53" s="172"/>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row>
    <row r="54" spans="1:33">
      <c r="A54" s="61"/>
      <c r="B54" s="32"/>
      <c r="F54" s="150" t="s">
        <v>3124</v>
      </c>
      <c r="G54" s="137"/>
      <c r="H54" s="137"/>
      <c r="I54" s="138"/>
      <c r="J54" s="138"/>
      <c r="K54" s="138"/>
      <c r="L54" s="138"/>
      <c r="M54" s="138"/>
      <c r="N54" s="138"/>
      <c r="O54" s="138"/>
      <c r="P54" s="139"/>
    </row>
    <row r="55" spans="1:33">
      <c r="A55" s="61"/>
      <c r="B55" s="32"/>
      <c r="F55" s="11"/>
    </row>
    <row r="56" spans="1:33">
      <c r="A56" s="61"/>
      <c r="B56" s="32"/>
      <c r="F56" s="11"/>
    </row>
    <row r="57" spans="1:33" ht="27.95" customHeight="1">
      <c r="A57" s="61"/>
      <c r="B57" s="32"/>
      <c r="F57" s="244" t="s">
        <v>125</v>
      </c>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row>
    <row r="58" spans="1:33">
      <c r="A58" s="61"/>
      <c r="B58" s="32"/>
      <c r="F58" s="21"/>
      <c r="G58" s="21"/>
      <c r="H58" s="21"/>
      <c r="I58" s="21"/>
      <c r="J58" s="21"/>
      <c r="K58" s="21"/>
      <c r="L58" s="21"/>
      <c r="M58" s="21"/>
      <c r="N58" s="22"/>
      <c r="O58" s="22"/>
      <c r="P58" s="22"/>
      <c r="Q58" s="22"/>
    </row>
    <row r="59" spans="1:33">
      <c r="A59" s="61"/>
      <c r="B59" s="32" t="s">
        <v>124</v>
      </c>
      <c r="F59" s="59" t="s">
        <v>126</v>
      </c>
      <c r="G59" s="256" t="s">
        <v>1373</v>
      </c>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05" t="s">
        <v>127</v>
      </c>
      <c r="AF59" s="205"/>
      <c r="AG59" s="205"/>
    </row>
    <row r="60" spans="1:33">
      <c r="A60" s="61"/>
      <c r="B60" s="32"/>
      <c r="F60" s="173">
        <v>1</v>
      </c>
      <c r="G60" s="302" t="s">
        <v>8704</v>
      </c>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3">
        <v>5.0000000000000001E-3</v>
      </c>
      <c r="AF60" s="303"/>
      <c r="AG60" s="303"/>
    </row>
    <row r="61" spans="1:33">
      <c r="A61" s="61"/>
      <c r="B61" s="32"/>
      <c r="F61" s="173">
        <v>2</v>
      </c>
      <c r="G61" s="302" t="s">
        <v>8705</v>
      </c>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3">
        <v>5.0000000000000001E-3</v>
      </c>
      <c r="AF61" s="303"/>
      <c r="AG61" s="303"/>
    </row>
    <row r="62" spans="1:33">
      <c r="A62" s="61"/>
      <c r="B62" s="32"/>
      <c r="F62" s="172"/>
      <c r="G62" s="304" t="s">
        <v>128</v>
      </c>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5">
        <v>0.01</v>
      </c>
      <c r="AF62" s="305"/>
      <c r="AG62" s="305"/>
    </row>
    <row r="63" spans="1:33">
      <c r="A63" s="61"/>
      <c r="B63" s="32"/>
      <c r="F63" s="172"/>
      <c r="G63" s="172"/>
      <c r="H63" s="172"/>
      <c r="I63" s="172"/>
      <c r="J63" s="172"/>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row>
    <row r="64" spans="1:33">
      <c r="A64" s="61"/>
      <c r="B64" s="32" t="s">
        <v>139</v>
      </c>
    </row>
  </sheetData>
  <sheetProtection algorithmName="SHA-512" hashValue="Fv6NNeZ1XETKuq0SEmcfnr6z4qPeKr3qc28TeYmcfgKjrT5mfFJZ/ffNTXxTW2afnc3zginxCKjdczZGDsmrKA==" saltValue="Z0jHX0I8Z8js9OMBAzH5Ig==" spinCount="100000" sheet="1" objects="1" scenarios="1"/>
  <mergeCells count="100">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F18:J18"/>
    <mergeCell ref="K18:S18"/>
    <mergeCell ref="F20:AG20"/>
    <mergeCell ref="F22:H23"/>
    <mergeCell ref="I22:L23"/>
    <mergeCell ref="N22:P23"/>
    <mergeCell ref="Q22:S23"/>
    <mergeCell ref="U22:W23"/>
    <mergeCell ref="X22:Z23"/>
    <mergeCell ref="AB22:AD23"/>
    <mergeCell ref="AE22:AG23"/>
    <mergeCell ref="G34:I34"/>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AD34:AG34"/>
    <mergeCell ref="AA35:AC35"/>
    <mergeCell ref="AD35:AG35"/>
    <mergeCell ref="AA36:AC36"/>
    <mergeCell ref="AD36:AG36"/>
    <mergeCell ref="AA37:AC37"/>
    <mergeCell ref="AD37:AG37"/>
    <mergeCell ref="F40:N40"/>
    <mergeCell ref="O40:AG40"/>
    <mergeCell ref="F41:N41"/>
    <mergeCell ref="O41:AG41"/>
    <mergeCell ref="F36:X36"/>
    <mergeCell ref="F42:N42"/>
    <mergeCell ref="O42:AG42"/>
    <mergeCell ref="F43:N43"/>
    <mergeCell ref="O43:AG43"/>
    <mergeCell ref="F45:AG46"/>
    <mergeCell ref="F48:AG48"/>
    <mergeCell ref="F50:G50"/>
    <mergeCell ref="H50:J50"/>
    <mergeCell ref="K50:O50"/>
    <mergeCell ref="P50:U50"/>
    <mergeCell ref="V50:AE50"/>
    <mergeCell ref="AF50:AG50"/>
    <mergeCell ref="G61:AD61"/>
    <mergeCell ref="AE61:AG61"/>
    <mergeCell ref="G62:AD62"/>
    <mergeCell ref="AE62:AG62"/>
    <mergeCell ref="F57:AG57"/>
    <mergeCell ref="G59:AD59"/>
    <mergeCell ref="AE59:AG59"/>
    <mergeCell ref="G60:AD60"/>
    <mergeCell ref="AE60:AG60"/>
    <mergeCell ref="AF52:AG52"/>
    <mergeCell ref="F51:G51"/>
    <mergeCell ref="H51:J51"/>
    <mergeCell ref="K51:O51"/>
    <mergeCell ref="P51:U51"/>
    <mergeCell ref="F52:G52"/>
    <mergeCell ref="H52:J52"/>
    <mergeCell ref="K52:O52"/>
    <mergeCell ref="P52:U52"/>
    <mergeCell ref="V52:AE52"/>
    <mergeCell ref="V51:AE51"/>
    <mergeCell ref="AF51:AG51"/>
    <mergeCell ref="F1:AG2"/>
    <mergeCell ref="F3:K3"/>
    <mergeCell ref="L3:AA4"/>
    <mergeCell ref="F4:K4"/>
    <mergeCell ref="F5:AG5"/>
  </mergeCells>
  <phoneticPr fontId="23" type="noConversion"/>
  <dataValidations count="18">
    <dataValidation type="date" operator="greaterThanOrEqual" allowBlank="1" showInputMessage="1" showErrorMessage="1" errorTitle="Error" error="Fecha no válida" sqref="H51:H53" xr:uid="{054FE8F1-0903-4F9C-A415-502B24F23058}">
      <formula1>TODAY()</formula1>
    </dataValidation>
    <dataValidation type="custom" allowBlank="1" showInputMessage="1" showErrorMessage="1" errorTitle="Porcentaje" error="Por favor digite un valor entre 0% y 100% y con máximo dos dígitos decimales." sqref="AE60:AG61" xr:uid="{E2BBB1C1-1D85-4896-805D-B238C0035E5C}">
      <formula1>AND(ROUND(AE60,4)=AE60, AE60&gt;=0, AE60&lt;=1)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F822AEC1-03F1-4F3E-B197-75AA8828B60A}">
      <formula1>AND(ROUND(AE22,2)=AE22, AE22&gt;=1)</formula1>
    </dataValidation>
    <dataValidation type="decimal" allowBlank="1" showInputMessage="1" showErrorMessage="1" errorTitle="Porcentaje" error="Por favor digite un valor entre 0% y 100%" sqref="AE62" xr:uid="{36636919-1FFF-4FD4-82AA-E27832E22BD7}">
      <formula1>0</formula1>
      <formula2>1</formula2>
    </dataValidation>
    <dataValidation type="list" allowBlank="1" showInputMessage="1" showErrorMessage="1" sqref="O40" xr:uid="{3A651D8A-CCBE-4842-8D78-1AA4D5F2B48E}">
      <formula1>"Si,No. IMPORTANTE: si selecciona esta opción el Proveedor no está obligado a entregar certificados de conformidad ni otras pruebas de laboratorio del producto."</formula1>
    </dataValidation>
    <dataValidation type="list" allowBlank="1" showInputMessage="1" showErrorMessage="1" sqref="O41:O43" xr:uid="{29FC99AE-707E-4B3E-9656-7D87D10C6A7D}">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2" xr:uid="{98E024D7-7B95-460C-802F-DBD9CA20B68B}">
      <formula1>departamentos_DIVIPOLA</formula1>
    </dataValidation>
    <dataValidation type="whole" operator="greaterThan" allowBlank="1" showInputMessage="1" showErrorMessage="1" errorTitle="Error" error="Valor no válido" sqref="AB53 AF51:AF52" xr:uid="{B1FB02AE-67B2-4F12-8AB8-670C8A8ADA53}">
      <formula1>0</formula1>
    </dataValidation>
    <dataValidation type="list" allowBlank="1" showInputMessage="1" showErrorMessage="1" sqref="S53" xr:uid="{1E4942B3-2F8C-4E64-8F1B-27317A4BAF3C}">
      <formula1>Deptos</formula1>
    </dataValidation>
    <dataValidation type="list" allowBlank="1" showInputMessage="1" showErrorMessage="1" sqref="I22:L23" xr:uid="{8E96EB8E-E236-4425-AE37-5F832BC52F7D}">
      <formula1>"COMPRAVENTA,MONTO AGOTABLE"</formula1>
    </dataValidation>
    <dataValidation type="list" allowBlank="1" showInputMessage="1" showErrorMessage="1" sqref="X22:Z23" xr:uid="{77AE3371-45AC-4E68-9615-976206737245}">
      <formula1>L3_region</formula1>
    </dataValidation>
    <dataValidation type="list" allowBlank="1" showInputMessage="1" showErrorMessage="1" sqref="I28:K29" xr:uid="{3D600606-479A-41CF-8B65-8757C271DA2A}">
      <formula1>L3_cod_raiz_productos</formula1>
    </dataValidation>
    <dataValidation type="list" allowBlank="1" showInputMessage="1" showErrorMessage="1" sqref="Q22:S23" xr:uid="{122363F8-70ED-4373-939B-0A5EA84981F2}">
      <formula1>"SI,NO"</formula1>
    </dataValidation>
    <dataValidation type="list" allowBlank="1" showInputMessage="1" showErrorMessage="1" sqref="N58:Q58" xr:uid="{2D2653F3-3FCE-4EEE-A272-5A8EF482D37C}">
      <formula1>A1_Lista_SF</formula1>
    </dataValidation>
    <dataValidation type="whole" allowBlank="1" showInputMessage="1" showErrorMessage="1" errorTitle="Nit" error="Por favor digite el NIT sin digito de verificación._x000a__x000a_Tenga en cuenta que como máximo se permiten 15 caracteres" sqref="Y12:AG12" xr:uid="{C845DEA4-78B7-463B-9313-AC4A7373886A}">
      <formula1>0</formula1>
      <formula2>999999999999999</formula2>
    </dataValidation>
    <dataValidation type="custom" allowBlank="1" showInputMessage="1" showErrorMessage="1" errorTitle="Correo" error="Por favor ingrese un correo que contenga @" sqref="K18:S18" xr:uid="{B4164855-69C7-42D9-BD8F-05E5AD1827A4}">
      <formula1>SEARCH("@",$K$18)&gt;=0</formula1>
    </dataValidation>
    <dataValidation type="whole" allowBlank="1" showInputMessage="1" showErrorMessage="1" errorTitle="Teléfono de contacto" error="Por favor digite el teléfono de contacto." sqref="Y16:AG16" xr:uid="{D07C1E2B-B695-4C61-AAE0-7FD25BD4F22D}">
      <formula1>0</formula1>
      <formula2>999999999999</formula2>
    </dataValidation>
    <dataValidation type="decimal" operator="greaterThanOrEqual" allowBlank="1" showInputMessage="1" showErrorMessage="1" errorTitle="Valor IVA" error="Por favor ingrese un valor de IVA válido" sqref="AD36:AG36" xr:uid="{4C642309-7D29-4E66-AB04-23BAD4E7650E}">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5750CD9C-A180-4CA2-BC73-16175817EE6F}"/>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46D3C1DC-38E9-482E-A01C-F044889B403A}"/>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7D284F5-4CF8-4D23-94F1-EFB9077D6D8D}">
          <x14:formula1>
            <xm:f>OFFSET(Municipios_DIVIPOLA!$H$1,MATCH(K51,Municipios_DIVIPOLA!H:H,0)-1,1,COUNTIF(Municipios_DIVIPOLA!H:H,K51))</xm:f>
          </x14:formula1>
          <xm:sqref>P51:U52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2"/>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N35" sqref="AN35"/>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60" t="s">
        <v>1389</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4.25" customHeight="1">
      <c r="A2" s="61"/>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3" ht="14.25" customHeight="1">
      <c r="A3" s="62"/>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3" ht="14.25" customHeight="1">
      <c r="A4" s="63"/>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3" ht="10.5" hidden="1" customHeight="1">
      <c r="A5" s="209" t="s">
        <v>170</v>
      </c>
      <c r="F5" s="262" t="s">
        <v>3909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ht="14.25" customHeight="1">
      <c r="A6" s="210"/>
    </row>
    <row r="7" spans="1:33" ht="14.25" hidden="1" customHeight="1">
      <c r="A7" s="211"/>
    </row>
    <row r="8" spans="1:33" ht="14.25" hidden="1" customHeight="1">
      <c r="A8" s="212" t="s">
        <v>162</v>
      </c>
    </row>
    <row r="9" spans="1:33" ht="14.25" hidden="1" customHeight="1">
      <c r="A9" s="213"/>
    </row>
    <row r="10" spans="1:33" ht="27.95" customHeight="1">
      <c r="A10" s="219" t="s">
        <v>163</v>
      </c>
      <c r="B10" s="32"/>
      <c r="F10" s="244" t="s">
        <v>105</v>
      </c>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row>
    <row r="11" spans="1:33" ht="4.5" customHeight="1">
      <c r="A11" s="219"/>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0" t="s">
        <v>259</v>
      </c>
      <c r="B12" s="32"/>
      <c r="F12" s="214" t="s">
        <v>106</v>
      </c>
      <c r="G12" s="215"/>
      <c r="H12" s="215"/>
      <c r="I12" s="215"/>
      <c r="J12" s="216"/>
      <c r="K12" s="341" t="s">
        <v>8688</v>
      </c>
      <c r="L12" s="342"/>
      <c r="M12" s="342"/>
      <c r="N12" s="342"/>
      <c r="O12" s="342"/>
      <c r="P12" s="342"/>
      <c r="Q12" s="342"/>
      <c r="R12" s="342"/>
      <c r="S12" s="342"/>
      <c r="T12" s="235" t="s">
        <v>107</v>
      </c>
      <c r="U12" s="236"/>
      <c r="V12" s="236"/>
      <c r="W12" s="236"/>
      <c r="X12" s="236"/>
      <c r="Y12" s="344">
        <v>800130690</v>
      </c>
      <c r="Z12" s="344"/>
      <c r="AA12" s="344"/>
      <c r="AB12" s="344"/>
      <c r="AC12" s="344"/>
      <c r="AD12" s="344"/>
      <c r="AE12" s="344"/>
      <c r="AF12" s="344"/>
      <c r="AG12" s="344"/>
    </row>
    <row r="13" spans="1:33" ht="3.75" customHeight="1">
      <c r="A13" s="220"/>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06" t="s">
        <v>164</v>
      </c>
      <c r="B14" s="32"/>
      <c r="F14" s="214" t="s">
        <v>108</v>
      </c>
      <c r="G14" s="215"/>
      <c r="H14" s="215"/>
      <c r="I14" s="215"/>
      <c r="J14" s="216"/>
      <c r="K14" s="341" t="s">
        <v>8689</v>
      </c>
      <c r="L14" s="342"/>
      <c r="M14" s="342"/>
      <c r="N14" s="342"/>
      <c r="O14" s="342"/>
      <c r="P14" s="342"/>
      <c r="Q14" s="342"/>
      <c r="R14" s="342"/>
      <c r="S14" s="342"/>
      <c r="T14" s="214" t="s">
        <v>156</v>
      </c>
      <c r="U14" s="215"/>
      <c r="V14" s="215"/>
      <c r="W14" s="215"/>
      <c r="X14" s="215"/>
      <c r="Y14" s="343" t="s">
        <v>2866</v>
      </c>
      <c r="Z14" s="343"/>
      <c r="AA14" s="343"/>
      <c r="AB14" s="343"/>
      <c r="AC14" s="343"/>
      <c r="AD14" s="343"/>
      <c r="AE14" s="343"/>
      <c r="AF14" s="343"/>
      <c r="AG14" s="343"/>
    </row>
    <row r="15" spans="1:33" ht="2.25" customHeight="1">
      <c r="A15" s="206"/>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34" t="s">
        <v>165</v>
      </c>
      <c r="B16" s="32"/>
      <c r="F16" s="235" t="s">
        <v>110</v>
      </c>
      <c r="G16" s="236"/>
      <c r="H16" s="236"/>
      <c r="I16" s="236"/>
      <c r="J16" s="236"/>
      <c r="K16" s="341" t="s">
        <v>8690</v>
      </c>
      <c r="L16" s="342"/>
      <c r="M16" s="342"/>
      <c r="N16" s="342"/>
      <c r="O16" s="342"/>
      <c r="P16" s="342"/>
      <c r="Q16" s="342"/>
      <c r="R16" s="342"/>
      <c r="S16" s="342"/>
      <c r="T16" s="242" t="s">
        <v>109</v>
      </c>
      <c r="U16" s="243"/>
      <c r="V16" s="243"/>
      <c r="W16" s="243"/>
      <c r="X16" s="243"/>
      <c r="Y16" s="344">
        <v>3234801420</v>
      </c>
      <c r="Z16" s="344"/>
      <c r="AA16" s="344"/>
      <c r="AB16" s="344"/>
      <c r="AC16" s="344"/>
      <c r="AD16" s="344"/>
      <c r="AE16" s="344"/>
      <c r="AF16" s="344"/>
      <c r="AG16" s="344"/>
    </row>
    <row r="17" spans="1:49" ht="3" customHeight="1">
      <c r="A17" s="213"/>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06" t="s">
        <v>166</v>
      </c>
      <c r="B18" s="71"/>
      <c r="F18" s="240" t="s">
        <v>111</v>
      </c>
      <c r="G18" s="241"/>
      <c r="H18" s="241"/>
      <c r="I18" s="241"/>
      <c r="J18" s="241"/>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06"/>
      <c r="B19" s="32"/>
      <c r="F19" s="11"/>
      <c r="G19" s="11"/>
      <c r="H19" s="11"/>
      <c r="I19" s="11"/>
      <c r="J19" s="11"/>
    </row>
    <row r="20" spans="1:49" ht="27.95" customHeight="1">
      <c r="A20" s="234" t="s">
        <v>167</v>
      </c>
      <c r="B20" s="32"/>
      <c r="F20" s="244" t="s">
        <v>3125</v>
      </c>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row>
    <row r="21" spans="1:49" ht="4.5" customHeight="1">
      <c r="A21" s="213"/>
      <c r="B21" s="32"/>
    </row>
    <row r="22" spans="1:49" ht="13.9" customHeight="1">
      <c r="A22" s="206" t="s">
        <v>1366</v>
      </c>
      <c r="B22" s="69"/>
      <c r="C22" s="16"/>
      <c r="D22" s="16"/>
      <c r="F22" s="228" t="s">
        <v>3126</v>
      </c>
      <c r="G22" s="229"/>
      <c r="H22" s="230"/>
      <c r="I22" s="329" t="s">
        <v>8692</v>
      </c>
      <c r="J22" s="330"/>
      <c r="K22" s="330"/>
      <c r="L22" s="331"/>
      <c r="M22" s="17"/>
      <c r="N22" s="228" t="s">
        <v>3918</v>
      </c>
      <c r="O22" s="229"/>
      <c r="P22" s="230"/>
      <c r="Q22" s="329" t="s">
        <v>1374</v>
      </c>
      <c r="R22" s="330"/>
      <c r="S22" s="331"/>
      <c r="T22" s="17"/>
      <c r="U22" s="228" t="s">
        <v>276</v>
      </c>
      <c r="V22" s="229"/>
      <c r="W22" s="230"/>
      <c r="X22" s="329" t="s">
        <v>8708</v>
      </c>
      <c r="Y22" s="330"/>
      <c r="Z22" s="331"/>
      <c r="AA22" s="17"/>
      <c r="AB22" s="228" t="s">
        <v>112</v>
      </c>
      <c r="AC22" s="229"/>
      <c r="AD22" s="230"/>
      <c r="AE22" s="335">
        <v>63484625</v>
      </c>
      <c r="AF22" s="336"/>
      <c r="AG22" s="337"/>
    </row>
    <row r="23" spans="1:49" ht="14.25" customHeight="1">
      <c r="A23" s="207"/>
      <c r="B23" s="32"/>
      <c r="F23" s="231"/>
      <c r="G23" s="232"/>
      <c r="H23" s="233"/>
      <c r="I23" s="332"/>
      <c r="J23" s="333"/>
      <c r="K23" s="333"/>
      <c r="L23" s="334"/>
      <c r="M23" s="17"/>
      <c r="N23" s="231"/>
      <c r="O23" s="232"/>
      <c r="P23" s="233"/>
      <c r="Q23" s="332"/>
      <c r="R23" s="333"/>
      <c r="S23" s="334"/>
      <c r="T23" s="17"/>
      <c r="U23" s="231"/>
      <c r="V23" s="232"/>
      <c r="W23" s="233"/>
      <c r="X23" s="332"/>
      <c r="Y23" s="333"/>
      <c r="Z23" s="334"/>
      <c r="AA23" s="17"/>
      <c r="AB23" s="231"/>
      <c r="AC23" s="232"/>
      <c r="AD23" s="233"/>
      <c r="AE23" s="338"/>
      <c r="AF23" s="339"/>
      <c r="AG23" s="340"/>
    </row>
    <row r="24" spans="1:49" ht="15" customHeight="1">
      <c r="A24" s="221"/>
      <c r="B24" s="32"/>
      <c r="F24" s="11"/>
      <c r="G24" s="11"/>
      <c r="H24" s="11"/>
      <c r="I24" s="11"/>
      <c r="J24" s="11"/>
    </row>
    <row r="25" spans="1:49" ht="45" customHeight="1">
      <c r="A25" s="221"/>
      <c r="B25" s="32"/>
      <c r="F25" s="280" t="s">
        <v>8709</v>
      </c>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2"/>
    </row>
    <row r="26" spans="1:49" ht="14.25" customHeight="1">
      <c r="A26" s="208"/>
      <c r="B26" s="32"/>
    </row>
    <row r="27" spans="1:49" ht="14.25" hidden="1" customHeight="1">
      <c r="A27" s="208"/>
      <c r="B27" s="32"/>
      <c r="F27" s="11"/>
      <c r="G27" s="11"/>
      <c r="H27" s="11"/>
      <c r="I27" s="11"/>
      <c r="J27" s="11"/>
    </row>
    <row r="28" spans="1:49" ht="14.25" hidden="1" customHeight="1">
      <c r="A28" s="103"/>
      <c r="B28" s="32"/>
      <c r="F28" s="228" t="s">
        <v>4086</v>
      </c>
      <c r="G28" s="229"/>
      <c r="H28" s="230"/>
      <c r="I28" s="317"/>
      <c r="J28" s="317"/>
      <c r="K28" s="317"/>
      <c r="L28" s="222" t="s">
        <v>4226</v>
      </c>
      <c r="M28" s="223"/>
      <c r="N28" s="223"/>
      <c r="O28" s="223"/>
      <c r="P28" s="223"/>
      <c r="Q28" s="223"/>
      <c r="R28" s="223"/>
      <c r="S28" s="223"/>
      <c r="T28" s="223"/>
      <c r="U28" s="223"/>
      <c r="V28" s="223"/>
      <c r="W28" s="223"/>
      <c r="X28" s="223"/>
      <c r="Y28" s="223"/>
      <c r="Z28" s="223"/>
      <c r="AA28" s="223"/>
      <c r="AB28" s="223"/>
      <c r="AC28" s="223"/>
      <c r="AD28" s="223"/>
      <c r="AE28" s="223"/>
      <c r="AF28" s="223"/>
      <c r="AG28" s="224"/>
    </row>
    <row r="29" spans="1:49" ht="14.25" hidden="1" customHeight="1">
      <c r="A29" s="103"/>
      <c r="B29" s="32"/>
      <c r="F29" s="231"/>
      <c r="G29" s="232"/>
      <c r="H29" s="233"/>
      <c r="I29" s="317"/>
      <c r="J29" s="317"/>
      <c r="K29" s="317"/>
      <c r="L29" s="225"/>
      <c r="M29" s="226"/>
      <c r="N29" s="226"/>
      <c r="O29" s="226"/>
      <c r="P29" s="226"/>
      <c r="Q29" s="226"/>
      <c r="R29" s="226"/>
      <c r="S29" s="226"/>
      <c r="T29" s="226"/>
      <c r="U29" s="226"/>
      <c r="V29" s="226"/>
      <c r="W29" s="226"/>
      <c r="X29" s="226"/>
      <c r="Y29" s="226"/>
      <c r="Z29" s="226"/>
      <c r="AA29" s="226"/>
      <c r="AB29" s="226"/>
      <c r="AC29" s="226"/>
      <c r="AD29" s="226"/>
      <c r="AE29" s="226"/>
      <c r="AF29" s="226"/>
      <c r="AG29" s="227"/>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4164</v>
      </c>
      <c r="J32" s="350"/>
      <c r="K32" s="350"/>
      <c r="L32" s="350"/>
      <c r="M32" s="350"/>
      <c r="N32" s="350"/>
      <c r="O32" s="350"/>
      <c r="P32" s="350"/>
      <c r="Q32" s="350"/>
      <c r="R32" s="350"/>
      <c r="S32" s="350"/>
      <c r="T32" s="348" t="s">
        <v>3916</v>
      </c>
      <c r="U32" s="349"/>
      <c r="V32" s="349"/>
      <c r="W32" s="354" t="str">
        <f>+IFERROR(VLOOKUP(Cotizacion!$I$32,Cat_Filtro2!$E:$L,8,FALSE),"")</f>
        <v>REGION 7</v>
      </c>
      <c r="X32" s="355"/>
      <c r="Y32" s="355"/>
      <c r="Z32" s="356"/>
    </row>
    <row r="33" spans="1:47" ht="39.950000000000003" customHeight="1" thickBot="1">
      <c r="A33" s="103"/>
      <c r="B33" s="32" t="s">
        <v>130</v>
      </c>
      <c r="F33" s="154" t="s">
        <v>263</v>
      </c>
      <c r="G33" s="318" t="s">
        <v>3494</v>
      </c>
      <c r="H33" s="318"/>
      <c r="I33" s="318"/>
      <c r="J33" s="318" t="s">
        <v>3129</v>
      </c>
      <c r="K33" s="318"/>
      <c r="L33" s="318"/>
      <c r="M33" s="318"/>
      <c r="N33" s="318"/>
      <c r="O33" s="318"/>
      <c r="P33" s="318"/>
      <c r="Q33" s="318"/>
      <c r="R33" s="318"/>
      <c r="S33" s="318"/>
      <c r="T33" s="318"/>
      <c r="U33" s="318" t="s">
        <v>159</v>
      </c>
      <c r="V33" s="318"/>
      <c r="W33" s="318"/>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min03-P1</v>
      </c>
      <c r="H34" s="351"/>
      <c r="I34" s="351"/>
      <c r="J34" s="352" t="str">
        <f>+SolCotizacion!$L$28</f>
        <v>BOTA DE COMBATE MEDIA CAÑA EN CUERO SISTEMA VULCANIZADO E INYECCIÓN DIRECTA_según NTMD vigente</v>
      </c>
      <c r="K34" s="352"/>
      <c r="L34" s="352"/>
      <c r="M34" s="352"/>
      <c r="N34" s="352"/>
      <c r="O34" s="352"/>
      <c r="P34" s="352"/>
      <c r="Q34" s="352"/>
      <c r="R34" s="352"/>
      <c r="S34" s="352"/>
      <c r="T34" s="352"/>
      <c r="U34" s="353">
        <v>145</v>
      </c>
      <c r="V34" s="353"/>
      <c r="W34" s="353"/>
      <c r="X34" s="323">
        <f>+IFERROR(ROUND(VLOOKUP(F34&amp;"_"&amp;G34,Cat_resumido!$C:$CZ,Var!$F$6-2,FALSE)/U34,2),"")</f>
        <v>660764.61</v>
      </c>
      <c r="Y34" s="324"/>
      <c r="Z34" s="325"/>
      <c r="AA34" s="314">
        <f ca="1">+IFERROR(ROUND(X34/(1-Var!$F$3),2),"")</f>
        <v>667439</v>
      </c>
      <c r="AB34" s="314"/>
      <c r="AC34" s="314"/>
      <c r="AD34" s="346">
        <v>0.01</v>
      </c>
      <c r="AE34" s="346"/>
      <c r="AF34" s="314">
        <f ca="1">IFERROR(ROUND(AA34*(1-AD34),2),"")</f>
        <v>660764.61</v>
      </c>
      <c r="AG34" s="314"/>
      <c r="AH34" s="314"/>
      <c r="AI34" s="314">
        <f ca="1">IFERROR(ROUND(AF34*U34,2),"")</f>
        <v>95810868.450000003</v>
      </c>
      <c r="AJ34" s="314"/>
      <c r="AK34" s="314"/>
      <c r="AL34" s="345" t="s">
        <v>240</v>
      </c>
      <c r="AM34" s="345"/>
      <c r="AN34" s="346">
        <v>0.19</v>
      </c>
      <c r="AO34" s="346"/>
      <c r="AP34" s="314">
        <f ca="1">+IFERROR(IF(AL34="SI",ROUND(AI34*AN34,2),0),"")</f>
        <v>18204065.010000002</v>
      </c>
      <c r="AQ34" s="314"/>
      <c r="AR34" s="314"/>
      <c r="AS34" s="314">
        <f ca="1">+IFERROR(ROUND(AI34+AP34,2),"")</f>
        <v>114014933.45999999</v>
      </c>
      <c r="AT34" s="314"/>
      <c r="AU34" s="314"/>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06"/>
      <c r="H38" s="306"/>
      <c r="I38" s="306"/>
      <c r="J38" s="306"/>
      <c r="K38" s="306"/>
      <c r="L38" s="306"/>
      <c r="M38" s="306"/>
      <c r="N38" s="306"/>
      <c r="O38" s="313" t="s">
        <v>1311</v>
      </c>
      <c r="P38" s="313"/>
      <c r="Q38" s="313"/>
      <c r="R38" s="313"/>
      <c r="S38" s="313"/>
      <c r="T38" s="313"/>
      <c r="U38" s="313"/>
      <c r="V38" s="313"/>
      <c r="W38" s="313"/>
      <c r="X38" s="313"/>
      <c r="Y38" s="313"/>
      <c r="Z38" s="313"/>
      <c r="AA38" s="313"/>
      <c r="AB38" s="313"/>
      <c r="AC38" s="313"/>
      <c r="AD38" s="313"/>
      <c r="AE38" s="313"/>
      <c r="AF38" s="313"/>
      <c r="AG38" s="313"/>
      <c r="AH38" s="171"/>
    </row>
    <row r="39" spans="1:47" ht="27.95" customHeight="1">
      <c r="A39" s="61"/>
      <c r="B39" s="32"/>
      <c r="F39" s="284" t="s">
        <v>3907</v>
      </c>
      <c r="G39" s="306"/>
      <c r="H39" s="306"/>
      <c r="I39" s="306"/>
      <c r="J39" s="306"/>
      <c r="K39" s="306"/>
      <c r="L39" s="306"/>
      <c r="M39" s="306"/>
      <c r="N39" s="306"/>
      <c r="O39" s="313" t="s">
        <v>8701</v>
      </c>
      <c r="P39" s="313"/>
      <c r="Q39" s="313"/>
      <c r="R39" s="313"/>
      <c r="S39" s="313"/>
      <c r="T39" s="313"/>
      <c r="U39" s="313"/>
      <c r="V39" s="313"/>
      <c r="W39" s="313"/>
      <c r="X39" s="313"/>
      <c r="Y39" s="313"/>
      <c r="Z39" s="313"/>
      <c r="AA39" s="313"/>
      <c r="AB39" s="313"/>
      <c r="AC39" s="313"/>
      <c r="AD39" s="313"/>
      <c r="AE39" s="313"/>
      <c r="AF39" s="313"/>
      <c r="AG39" s="313"/>
      <c r="AH39" s="171"/>
    </row>
    <row r="40" spans="1:47" ht="21" customHeight="1">
      <c r="A40" s="61"/>
      <c r="B40" s="32"/>
      <c r="F40" s="284" t="s">
        <v>3284</v>
      </c>
      <c r="G40" s="306"/>
      <c r="H40" s="306"/>
      <c r="I40" s="306"/>
      <c r="J40" s="306"/>
      <c r="K40" s="306"/>
      <c r="L40" s="306"/>
      <c r="M40" s="306"/>
      <c r="N40" s="306"/>
      <c r="O40" s="307" t="s">
        <v>8701</v>
      </c>
      <c r="P40" s="307"/>
      <c r="Q40" s="307"/>
      <c r="R40" s="307"/>
      <c r="S40" s="307"/>
      <c r="T40" s="307"/>
      <c r="U40" s="307"/>
      <c r="V40" s="307"/>
      <c r="W40" s="307"/>
      <c r="X40" s="307"/>
      <c r="Y40" s="307"/>
      <c r="Z40" s="307"/>
      <c r="AA40" s="307"/>
      <c r="AB40" s="307"/>
      <c r="AC40" s="307"/>
      <c r="AD40" s="307"/>
      <c r="AE40" s="307"/>
      <c r="AF40" s="307"/>
      <c r="AG40" s="307"/>
      <c r="AH40" s="171"/>
    </row>
    <row r="41" spans="1:47" ht="21" customHeight="1">
      <c r="A41" s="61"/>
      <c r="B41" s="32"/>
      <c r="F41" s="285" t="s">
        <v>3908</v>
      </c>
      <c r="G41" s="308"/>
      <c r="H41" s="308"/>
      <c r="I41" s="308"/>
      <c r="J41" s="308"/>
      <c r="K41" s="308"/>
      <c r="L41" s="308"/>
      <c r="M41" s="308"/>
      <c r="N41" s="309"/>
      <c r="O41" s="310" t="s">
        <v>8701</v>
      </c>
      <c r="P41" s="311"/>
      <c r="Q41" s="311"/>
      <c r="R41" s="311"/>
      <c r="S41" s="311"/>
      <c r="T41" s="311"/>
      <c r="U41" s="311"/>
      <c r="V41" s="311"/>
      <c r="W41" s="311"/>
      <c r="X41" s="311"/>
      <c r="Y41" s="311"/>
      <c r="Z41" s="311"/>
      <c r="AA41" s="311"/>
      <c r="AB41" s="311"/>
      <c r="AC41" s="311"/>
      <c r="AD41" s="311"/>
      <c r="AE41" s="311"/>
      <c r="AF41" s="311"/>
      <c r="AG41" s="312"/>
      <c r="AH41" s="171"/>
    </row>
    <row r="42" spans="1:47" ht="14.25" hidden="1" customHeight="1">
      <c r="A42"/>
    </row>
    <row r="43" spans="1:47" ht="30.75" customHeight="1">
      <c r="A43" s="61"/>
      <c r="B43" s="32"/>
      <c r="F43" s="197" t="s">
        <v>4071</v>
      </c>
      <c r="G43" s="197"/>
      <c r="H43" s="197"/>
      <c r="I43" s="197"/>
      <c r="J43" s="197"/>
      <c r="K43" s="197"/>
      <c r="L43" s="197"/>
      <c r="M43" s="197"/>
      <c r="N43" s="197"/>
      <c r="O43" s="198"/>
      <c r="P43" s="197"/>
      <c r="Q43" s="197"/>
      <c r="R43" s="197"/>
      <c r="S43" s="197"/>
      <c r="T43" s="197"/>
      <c r="U43" s="197"/>
      <c r="V43" s="197"/>
      <c r="W43" s="197"/>
      <c r="X43" s="197"/>
      <c r="Y43" s="197"/>
      <c r="Z43" s="197"/>
      <c r="AA43" s="197"/>
      <c r="AB43" s="197"/>
      <c r="AC43" s="197"/>
      <c r="AD43" s="197"/>
      <c r="AE43" s="197"/>
      <c r="AF43" s="197"/>
      <c r="AG43" s="197"/>
    </row>
    <row r="44" spans="1:47">
      <c r="A44" s="61"/>
      <c r="B44" s="32"/>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44" t="s">
        <v>3119</v>
      </c>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row>
    <row r="47" spans="1:47">
      <c r="A47" s="61"/>
      <c r="B47" s="32"/>
    </row>
    <row r="48" spans="1:47" ht="24" customHeight="1">
      <c r="A48" s="61"/>
      <c r="B48" s="32" t="s">
        <v>3904</v>
      </c>
      <c r="F48" s="245" t="s">
        <v>3120</v>
      </c>
      <c r="G48" s="246"/>
      <c r="H48" s="247" t="s">
        <v>3121</v>
      </c>
      <c r="I48" s="248"/>
      <c r="J48" s="248"/>
      <c r="K48" s="199" t="s">
        <v>1</v>
      </c>
      <c r="L48" s="200"/>
      <c r="M48" s="200"/>
      <c r="N48" s="200"/>
      <c r="O48" s="201"/>
      <c r="P48" s="199" t="s">
        <v>3123</v>
      </c>
      <c r="Q48" s="200"/>
      <c r="R48" s="200"/>
      <c r="S48" s="200"/>
      <c r="T48" s="200"/>
      <c r="U48" s="201"/>
      <c r="V48" s="199" t="s">
        <v>3122</v>
      </c>
      <c r="W48" s="200"/>
      <c r="X48" s="200"/>
      <c r="Y48" s="200"/>
      <c r="Z48" s="200"/>
      <c r="AA48" s="200"/>
      <c r="AB48" s="200"/>
      <c r="AC48" s="200"/>
      <c r="AD48" s="200"/>
      <c r="AE48" s="201"/>
      <c r="AF48" s="199" t="s">
        <v>159</v>
      </c>
      <c r="AG48" s="200"/>
    </row>
    <row r="49" spans="1:33">
      <c r="A49" s="61"/>
      <c r="B49" s="32"/>
      <c r="F49" s="298">
        <v>1</v>
      </c>
      <c r="G49" s="299"/>
      <c r="H49" s="300">
        <v>46219</v>
      </c>
      <c r="I49" s="300"/>
      <c r="J49" s="300"/>
      <c r="K49" s="301" t="s">
        <v>1778</v>
      </c>
      <c r="L49" s="301"/>
      <c r="M49" s="301"/>
      <c r="N49" s="301"/>
      <c r="O49" s="301"/>
      <c r="P49" s="301" t="s">
        <v>1260</v>
      </c>
      <c r="Q49" s="301"/>
      <c r="R49" s="301"/>
      <c r="S49" s="301"/>
      <c r="T49" s="301"/>
      <c r="U49" s="301"/>
      <c r="V49" s="301" t="s">
        <v>8702</v>
      </c>
      <c r="W49" s="301"/>
      <c r="X49" s="301"/>
      <c r="Y49" s="301"/>
      <c r="Z49" s="301"/>
      <c r="AA49" s="301"/>
      <c r="AB49" s="301"/>
      <c r="AC49" s="301"/>
      <c r="AD49" s="301"/>
      <c r="AE49" s="301"/>
      <c r="AF49" s="297">
        <v>30</v>
      </c>
      <c r="AG49" s="297"/>
    </row>
    <row r="50" spans="1:33">
      <c r="A50" s="61"/>
      <c r="B50" s="32"/>
      <c r="F50" s="298">
        <v>2</v>
      </c>
      <c r="G50" s="299"/>
      <c r="H50" s="300">
        <v>46219</v>
      </c>
      <c r="I50" s="300"/>
      <c r="J50" s="300"/>
      <c r="K50" s="301" t="s">
        <v>1778</v>
      </c>
      <c r="L50" s="301"/>
      <c r="M50" s="301"/>
      <c r="N50" s="301"/>
      <c r="O50" s="301"/>
      <c r="P50" s="301" t="s">
        <v>1260</v>
      </c>
      <c r="Q50" s="301"/>
      <c r="R50" s="301"/>
      <c r="S50" s="301"/>
      <c r="T50" s="301"/>
      <c r="U50" s="301"/>
      <c r="V50" s="301" t="s">
        <v>8703</v>
      </c>
      <c r="W50" s="301"/>
      <c r="X50" s="301"/>
      <c r="Y50" s="301"/>
      <c r="Z50" s="301"/>
      <c r="AA50" s="301"/>
      <c r="AB50" s="301"/>
      <c r="AC50" s="301"/>
      <c r="AD50" s="301"/>
      <c r="AE50" s="301"/>
      <c r="AF50" s="297">
        <v>115</v>
      </c>
      <c r="AG50" s="297"/>
    </row>
    <row r="51" spans="1:33" ht="6.75" customHeight="1">
      <c r="A51" s="61"/>
      <c r="B51" s="32"/>
      <c r="F51" s="172"/>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row>
    <row r="52" spans="1:33">
      <c r="A52" s="61"/>
      <c r="B52" s="32"/>
      <c r="F52" s="150" t="s">
        <v>3124</v>
      </c>
      <c r="G52" s="137"/>
      <c r="H52" s="137"/>
      <c r="I52" s="138"/>
      <c r="J52" s="138"/>
      <c r="K52" s="138"/>
      <c r="L52" s="138"/>
      <c r="M52" s="138"/>
      <c r="N52" s="138"/>
      <c r="O52" s="138"/>
      <c r="P52" s="139"/>
    </row>
    <row r="53" spans="1:33">
      <c r="A53" s="61"/>
      <c r="B53" s="32"/>
      <c r="F53" s="11"/>
    </row>
    <row r="54" spans="1:33">
      <c r="A54" s="61"/>
      <c r="B54" s="32"/>
      <c r="F54" s="11"/>
    </row>
    <row r="55" spans="1:33" ht="27.95" customHeight="1">
      <c r="A55" s="61"/>
      <c r="B55" s="32"/>
      <c r="F55" s="244" t="s">
        <v>125</v>
      </c>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row>
    <row r="56" spans="1:33">
      <c r="A56" s="61"/>
      <c r="B56" s="32"/>
      <c r="F56" s="21"/>
      <c r="G56" s="21"/>
      <c r="H56" s="21"/>
      <c r="I56" s="21"/>
      <c r="J56" s="21"/>
      <c r="K56" s="21"/>
      <c r="L56" s="21"/>
      <c r="M56" s="21"/>
      <c r="N56" s="22"/>
      <c r="O56" s="22"/>
      <c r="P56" s="22"/>
      <c r="Q56" s="22"/>
    </row>
    <row r="57" spans="1:33">
      <c r="A57" s="61"/>
      <c r="B57" s="32" t="s">
        <v>124</v>
      </c>
      <c r="F57" s="59" t="s">
        <v>126</v>
      </c>
      <c r="G57" s="256" t="s">
        <v>1373</v>
      </c>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05" t="s">
        <v>127</v>
      </c>
      <c r="AF57" s="205"/>
      <c r="AG57" s="205"/>
    </row>
    <row r="58" spans="1:33">
      <c r="A58" s="61"/>
      <c r="B58" s="32"/>
      <c r="F58" s="173">
        <v>1</v>
      </c>
      <c r="G58" s="302" t="s">
        <v>8704</v>
      </c>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3">
        <v>5.0000000000000001E-3</v>
      </c>
      <c r="AF58" s="303"/>
      <c r="AG58" s="303"/>
    </row>
    <row r="59" spans="1:33">
      <c r="A59" s="61"/>
      <c r="B59" s="32"/>
      <c r="F59" s="173">
        <v>2</v>
      </c>
      <c r="G59" s="302" t="s">
        <v>8705</v>
      </c>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3">
        <v>5.0000000000000001E-3</v>
      </c>
      <c r="AF59" s="303"/>
      <c r="AG59" s="303"/>
    </row>
    <row r="60" spans="1:33">
      <c r="A60" s="61"/>
      <c r="B60" s="32"/>
      <c r="F60" s="172"/>
      <c r="G60" s="304" t="s">
        <v>128</v>
      </c>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5">
        <v>0.01</v>
      </c>
      <c r="AF60" s="305"/>
      <c r="AG60" s="305"/>
    </row>
    <row r="61" spans="1:33">
      <c r="A61" s="61"/>
      <c r="B61" s="32"/>
      <c r="F61" s="172"/>
      <c r="G61" s="172"/>
      <c r="H61" s="172"/>
      <c r="I61" s="172"/>
      <c r="J61" s="172"/>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row>
    <row r="62" spans="1:33">
      <c r="A62" s="61"/>
      <c r="B62" s="32" t="s">
        <v>139</v>
      </c>
    </row>
  </sheetData>
  <sheetProtection algorithmName="SHA-512" hashValue="/AuCynsGxXGV9MxXkmQUMMZUNh+ciDUOV+xqFQIeKV+MOv/a6GXid7MpJepMTnxzsk5pa1bd/zt7SpWxSPD3SQ==" saltValue="nPvtw0eLaBZ2s7jPG7kFWA==" spinCount="100000" sheet="1" objects="1" scenarios="1"/>
  <mergeCells count="109">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F25:AG25"/>
    <mergeCell ref="F28:H29"/>
    <mergeCell ref="I28:K29"/>
    <mergeCell ref="L28:AG29"/>
    <mergeCell ref="G33:I33"/>
    <mergeCell ref="J33:T33"/>
    <mergeCell ref="U33:W33"/>
    <mergeCell ref="X33:Z33"/>
    <mergeCell ref="AA33:AC33"/>
    <mergeCell ref="W32:Z32"/>
    <mergeCell ref="F38:N38"/>
    <mergeCell ref="O38:AG38"/>
    <mergeCell ref="F39:N39"/>
    <mergeCell ref="O39:AG39"/>
    <mergeCell ref="G34:I34"/>
    <mergeCell ref="J34:T34"/>
    <mergeCell ref="U34:W34"/>
    <mergeCell ref="X34:Z34"/>
    <mergeCell ref="AA34:AC34"/>
    <mergeCell ref="F46:AG46"/>
    <mergeCell ref="F48:G48"/>
    <mergeCell ref="H48:J48"/>
    <mergeCell ref="K48:O48"/>
    <mergeCell ref="P48:U48"/>
    <mergeCell ref="V48:AE48"/>
    <mergeCell ref="AF48:AG48"/>
    <mergeCell ref="F40:N40"/>
    <mergeCell ref="O40:AG40"/>
    <mergeCell ref="F41:N41"/>
    <mergeCell ref="O41:AG41"/>
    <mergeCell ref="F43:AG44"/>
    <mergeCell ref="K50:O50"/>
    <mergeCell ref="P50:U50"/>
    <mergeCell ref="V50:AE50"/>
    <mergeCell ref="AF50:AG50"/>
    <mergeCell ref="F49:G49"/>
    <mergeCell ref="H49:J49"/>
    <mergeCell ref="K49:O49"/>
    <mergeCell ref="P49:U49"/>
    <mergeCell ref="V49:AE49"/>
    <mergeCell ref="G59:AD59"/>
    <mergeCell ref="AE59:AG59"/>
    <mergeCell ref="G60:AD60"/>
    <mergeCell ref="AE60:AG60"/>
    <mergeCell ref="F1:AG2"/>
    <mergeCell ref="F3:K3"/>
    <mergeCell ref="L3:AA4"/>
    <mergeCell ref="F4:K4"/>
    <mergeCell ref="F5:AG5"/>
    <mergeCell ref="F32:H32"/>
    <mergeCell ref="I32:S32"/>
    <mergeCell ref="AD33:AE33"/>
    <mergeCell ref="AF33:AH33"/>
    <mergeCell ref="AD34:AE34"/>
    <mergeCell ref="AF34:AH34"/>
    <mergeCell ref="T32:V32"/>
    <mergeCell ref="F55:AG55"/>
    <mergeCell ref="G57:AD57"/>
    <mergeCell ref="AE57:AG57"/>
    <mergeCell ref="G58:AD58"/>
    <mergeCell ref="AE58:AG58"/>
    <mergeCell ref="AF49:AG49"/>
    <mergeCell ref="F50:G50"/>
    <mergeCell ref="H50:J50"/>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9BD13C05-257A-4FCD-A85D-7096B7EEC97E}">
      <formula1>0</formula1>
      <formula2>999999999999</formula2>
    </dataValidation>
    <dataValidation type="custom" allowBlank="1" showInputMessage="1" showErrorMessage="1" errorTitle="Correo" error="Por favor ingrese un correo que contenga @" sqref="K18:S18" xr:uid="{A22DE753-CF87-45C7-88E5-8B88C7C56B4A}">
      <formula1>SEARCH("@",$K$18)&gt;=0</formula1>
    </dataValidation>
    <dataValidation type="whole" allowBlank="1" showInputMessage="1" showErrorMessage="1" errorTitle="Nit" error="Por favor digite el NIT sin digito de verificación._x000a__x000a_Tenga en cuenta que como máximo se permiten 15 caracteres" sqref="Y12:AG12" xr:uid="{978453B6-A826-4F03-8F28-8219F946A0DF}">
      <formula1>0</formula1>
      <formula2>999999999999999</formula2>
    </dataValidation>
    <dataValidation type="list" allowBlank="1" showInputMessage="1" showErrorMessage="1" sqref="N56:Q56" xr:uid="{1D6BA3D7-4957-49DE-AF1A-565457C84220}">
      <formula1>A1_Lista_SF</formula1>
    </dataValidation>
    <dataValidation type="list" allowBlank="1" showInputMessage="1" showErrorMessage="1" sqref="Q22:S23 AL34:AM34" xr:uid="{B2999B8E-9002-48A8-A61D-0B2F2381C294}">
      <formula1>"SI,NO"</formula1>
    </dataValidation>
    <dataValidation type="list" allowBlank="1" showInputMessage="1" showErrorMessage="1" sqref="I28:K29" xr:uid="{F0C4BD2C-326D-4553-A704-D66C051964B2}">
      <formula1>L3_cod_raiz_productos</formula1>
    </dataValidation>
    <dataValidation type="list" allowBlank="1" showInputMessage="1" showErrorMessage="1" sqref="X22:Z23" xr:uid="{E5C2B391-7B3B-42F4-ABE9-A5E12D53B482}">
      <formula1>L3_region</formula1>
    </dataValidation>
    <dataValidation type="list" allowBlank="1" showInputMessage="1" showErrorMessage="1" sqref="I22:L23" xr:uid="{1E67D135-3B50-40AA-94DE-D2E3CE9C9AB1}">
      <formula1>"COMPRAVENTA,MONTO AGOTABLE"</formula1>
    </dataValidation>
    <dataValidation type="list" allowBlank="1" showInputMessage="1" showErrorMessage="1" sqref="S51" xr:uid="{6AF29F23-4925-4E90-9A2D-761733D4F491}">
      <formula1>Deptos</formula1>
    </dataValidation>
    <dataValidation type="whole" operator="greaterThan" allowBlank="1" showInputMessage="1" showErrorMessage="1" errorTitle="Error" error="Valor no válido" sqref="AB51 AF49:AF50" xr:uid="{0969768D-B5C6-449E-97EF-73001BFDE92A}">
      <formula1>0</formula1>
    </dataValidation>
    <dataValidation type="list" allowBlank="1" showInputMessage="1" showErrorMessage="1" sqref="K49:O50" xr:uid="{80B08B9A-BCA7-4FB6-AFB0-467293C573E1}">
      <formula1>departamentos_DIVIPOLA</formula1>
    </dataValidation>
    <dataValidation type="list" allowBlank="1" showInputMessage="1" showErrorMessage="1" sqref="O39:O41" xr:uid="{BBD525DA-7A32-467F-BE6A-BF272565F279}">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D6D62982-739B-4710-86D1-0DD85044A363}">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0" xr:uid="{7A4E6CE0-14E0-4482-8F82-DB2952910908}">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DB4B0A-9134-4666-AA38-265484E42C8D}">
      <formula1>AND(ROUND(AE22,2)=AE22, AE22&gt;=1)</formula1>
    </dataValidation>
    <dataValidation type="custom" allowBlank="1" showInputMessage="1" showErrorMessage="1" errorTitle="Porcentaje" error="Por favor digite un valor entre 0% y 100% y con máximo dos dígitos decimales." sqref="AE58:AG59" xr:uid="{65043C16-2DD0-44C8-B4F4-61FAA78E072D}">
      <formula1>AND(ROUND(AE58,4)=AE58, AE58&gt;=0, AE58&lt;=1)</formula1>
    </dataValidation>
    <dataValidation type="date" operator="greaterThanOrEqual" allowBlank="1" showInputMessage="1" showErrorMessage="1" errorTitle="Error" error="Fecha no válida" sqref="H49:H51" xr:uid="{3E75BD38-3B96-4E98-85B5-03367FBA98C5}">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0355E31D-9744-40BB-9F11-3F65D6BE7075}">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B65D9CFE-FDE6-406C-97E2-75277CB0A8BB}">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EDE0D00B-5F9E-4561-9716-804CA978534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69A44E9-5D09-4D15-A564-BC5AE6A3B946}"/>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C3EC208F-1127-48BC-ABA6-FB5A05E4DDDA}">
          <x14:formula1>
            <xm:f>OFFSET(Municipios_DIVIPOLA!$H$1,MATCH(K49,Municipios_DIVIPOLA!H:H,0)-1,1,COUNTIF(Municipios_DIVIPOLA!H:H,K49))</xm:f>
          </x14:formula1>
          <xm:sqref>P49:U50</xm:sqref>
        </x14:dataValidation>
        <x14:dataValidation type="list" allowBlank="1" showInputMessage="1" showErrorMessage="1" xr:uid="{F98A787C-880B-410E-B94E-B420EB362227}">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19" t="s">
        <v>163</v>
      </c>
    </row>
    <row r="11" spans="1:1" ht="4.5" customHeight="1">
      <c r="A11" s="219"/>
    </row>
    <row r="12" spans="1:1" ht="14.25" customHeight="1">
      <c r="A12" s="220" t="s">
        <v>259</v>
      </c>
    </row>
    <row r="13" spans="1:1" ht="3.75" customHeight="1">
      <c r="A13" s="220"/>
    </row>
    <row r="14" spans="1:1" ht="14.25" customHeight="1">
      <c r="A14" s="206" t="s">
        <v>164</v>
      </c>
    </row>
    <row r="15" spans="1:1" ht="2.25" customHeight="1">
      <c r="A15" s="206"/>
    </row>
    <row r="16" spans="1:1" ht="14.25" customHeight="1">
      <c r="A16" s="234" t="s">
        <v>165</v>
      </c>
    </row>
    <row r="17" spans="1:104" ht="3" customHeight="1">
      <c r="A17" s="213"/>
    </row>
    <row r="18" spans="1:104" s="15" customFormat="1" ht="14.25" customHeight="1">
      <c r="A18" s="206"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06"/>
    </row>
    <row r="20" spans="1:104" ht="27.95" customHeight="1">
      <c r="A20" s="234" t="s">
        <v>167</v>
      </c>
    </row>
    <row r="21" spans="1:104" ht="4.5" customHeight="1">
      <c r="A21" s="213"/>
    </row>
    <row r="22" spans="1:104" ht="13.9" customHeight="1">
      <c r="A22" s="206" t="s">
        <v>1366</v>
      </c>
    </row>
    <row r="23" spans="1:104" ht="14.25" customHeight="1">
      <c r="A23" s="207"/>
    </row>
    <row r="24" spans="1:104" ht="15" customHeight="1">
      <c r="A24" s="221"/>
    </row>
    <row r="25" spans="1:104" ht="45" customHeight="1">
      <c r="A25" s="221"/>
    </row>
    <row r="26" spans="1:104" ht="14.25" customHeight="1">
      <c r="A26" s="208"/>
    </row>
    <row r="27" spans="1:104" ht="14.25" hidden="1" customHeight="1">
      <c r="A27" s="208"/>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U8r8Gvjvz3CVlYTY/p7xR+dd9dMD7uTc+Bx1KqcXjqV1ZIsIanz1/KfZEKLZ4n/+gBuYTqCoyIvGGrM15fKjhg==" saltValue="1zk0OUM32MOSsez3hWE9Dw=="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60" t="s">
        <v>4061</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4.25" customHeight="1">
      <c r="A2" s="28"/>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3" ht="14.25" customHeight="1">
      <c r="A3" s="30"/>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3" ht="14.25" customHeight="1">
      <c r="A4" s="31"/>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3" ht="15" hidden="1">
      <c r="A5" s="180"/>
      <c r="F5" s="262" t="s">
        <v>3909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c r="A6" s="180"/>
    </row>
    <row r="7" spans="1:33" hidden="1">
      <c r="A7" s="180"/>
    </row>
    <row r="8" spans="1:33" hidden="1">
      <c r="A8" s="179"/>
    </row>
    <row r="9" spans="1:33" hidden="1">
      <c r="A9" s="179"/>
    </row>
    <row r="10" spans="1:33" ht="27.95" hidden="1" customHeight="1">
      <c r="B10" s="32"/>
      <c r="F10" s="244" t="s">
        <v>4066</v>
      </c>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05" t="s">
        <v>1322</v>
      </c>
      <c r="Y33" s="205"/>
      <c r="Z33" s="205"/>
      <c r="AA33" s="205" t="s">
        <v>1449</v>
      </c>
      <c r="AB33" s="205"/>
      <c r="AC33" s="205"/>
      <c r="AD33" s="205" t="s">
        <v>3926</v>
      </c>
      <c r="AE33" s="205"/>
      <c r="AF33" s="205" t="s">
        <v>3927</v>
      </c>
      <c r="AG33" s="205"/>
      <c r="AH33" s="205"/>
      <c r="AI33" s="205" t="s">
        <v>1352</v>
      </c>
      <c r="AJ33" s="205"/>
      <c r="AK33" s="205"/>
      <c r="AL33" s="205" t="s">
        <v>1324</v>
      </c>
      <c r="AM33" s="205"/>
      <c r="AN33" s="205" t="s">
        <v>1450</v>
      </c>
      <c r="AO33" s="205"/>
      <c r="AP33" s="205" t="s">
        <v>1354</v>
      </c>
      <c r="AQ33" s="205"/>
      <c r="AR33" s="205"/>
      <c r="AS33" s="205" t="s">
        <v>1353</v>
      </c>
      <c r="AT33" s="205"/>
      <c r="AU33" s="205"/>
      <c r="AV33" s="205" t="s">
        <v>3934</v>
      </c>
      <c r="AW33" s="205"/>
      <c r="AX33" s="205"/>
      <c r="AY33" s="205" t="s">
        <v>145</v>
      </c>
      <c r="AZ33" s="205"/>
      <c r="BA33" s="205"/>
      <c r="BB33" s="205"/>
      <c r="BC33" s="205"/>
      <c r="BD33" s="205"/>
      <c r="BE33" s="205" t="s">
        <v>3935</v>
      </c>
      <c r="BF33" s="205"/>
      <c r="BG33" s="205"/>
      <c r="BH33" s="205" t="s">
        <v>3936</v>
      </c>
      <c r="BI33" s="205"/>
      <c r="BJ33" s="205"/>
      <c r="BK33" s="205" t="s">
        <v>3938</v>
      </c>
      <c r="BL33" s="205"/>
      <c r="BM33" s="205"/>
    </row>
  </sheetData>
  <sheetProtection algorithmName="SHA-512" hashValue="WaM+OW9GULtWm1B55lTqaAwY8wLKEEGPDEc697E5KhGgZlcB33pHAJlfAuTY+n+BF333gDDpJPoez16a1Txb8A==" saltValue="YKdBZ/AA/443IQYkhUAVTA=="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60" t="s">
        <v>1390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L1" s="33"/>
    </row>
    <row r="2" spans="1:38" ht="14.25" customHeight="1">
      <c r="A2" s="61"/>
      <c r="B2" s="44"/>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8" ht="14.25" customHeight="1">
      <c r="A3" s="62"/>
      <c r="B3" s="44"/>
      <c r="F3" s="365" t="str">
        <f>+SolCotizacion!F3</f>
        <v>Versión:7        05/02/2026</v>
      </c>
      <c r="G3" s="365"/>
      <c r="H3" s="365"/>
      <c r="I3" s="365"/>
      <c r="J3" s="365"/>
      <c r="K3" s="60"/>
      <c r="L3" s="261" t="s">
        <v>1565</v>
      </c>
      <c r="M3" s="261"/>
      <c r="N3" s="261"/>
      <c r="O3" s="261"/>
      <c r="P3" s="261"/>
      <c r="Q3" s="261"/>
      <c r="R3" s="261"/>
      <c r="S3" s="261"/>
      <c r="T3" s="261"/>
      <c r="U3" s="261"/>
      <c r="V3" s="261"/>
      <c r="W3" s="261"/>
      <c r="X3" s="261"/>
      <c r="Y3" s="261"/>
      <c r="Z3" s="261"/>
      <c r="AA3" s="261"/>
      <c r="AB3" s="60"/>
      <c r="AC3" s="60"/>
      <c r="AD3" s="60"/>
      <c r="AE3" s="60"/>
      <c r="AF3" s="60"/>
      <c r="AG3" s="60"/>
    </row>
    <row r="4" spans="1:38" ht="14.25" customHeight="1">
      <c r="A4" s="63"/>
      <c r="B4" s="44"/>
      <c r="F4" s="366">
        <f>+SolCotizacion!F4</f>
        <v>0</v>
      </c>
      <c r="G4" s="366"/>
      <c r="H4" s="366"/>
      <c r="I4" s="366"/>
      <c r="J4" s="366"/>
      <c r="K4" s="60"/>
      <c r="L4" s="261"/>
      <c r="M4" s="261"/>
      <c r="N4" s="261"/>
      <c r="O4" s="261"/>
      <c r="P4" s="261"/>
      <c r="Q4" s="261"/>
      <c r="R4" s="261"/>
      <c r="S4" s="261"/>
      <c r="T4" s="261"/>
      <c r="U4" s="261"/>
      <c r="V4" s="261"/>
      <c r="W4" s="261"/>
      <c r="X4" s="261"/>
      <c r="Y4" s="261"/>
      <c r="Z4" s="261"/>
      <c r="AA4" s="261"/>
      <c r="AB4" s="60"/>
      <c r="AC4" s="60"/>
      <c r="AD4" s="60"/>
      <c r="AE4" s="60"/>
      <c r="AF4" s="60"/>
      <c r="AG4" s="60"/>
    </row>
    <row r="5" spans="1:38" ht="15" hidden="1">
      <c r="A5" s="209" t="s">
        <v>170</v>
      </c>
      <c r="B5" s="44"/>
      <c r="F5" s="262" t="s">
        <v>1368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8" ht="14.25" customHeight="1">
      <c r="A6" s="210"/>
      <c r="B6" s="44"/>
      <c r="F6" s="11"/>
      <c r="G6" s="11"/>
      <c r="H6" s="11"/>
      <c r="I6" s="11"/>
      <c r="J6" s="11"/>
    </row>
    <row r="7" spans="1:38" ht="14.25" customHeight="1">
      <c r="A7" s="211"/>
      <c r="B7" s="44"/>
      <c r="F7" s="11"/>
      <c r="G7" s="11"/>
      <c r="H7" s="11"/>
      <c r="I7" s="11"/>
      <c r="J7" s="11"/>
    </row>
    <row r="8" spans="1:38" ht="14.25" customHeight="1">
      <c r="A8" s="212" t="s">
        <v>162</v>
      </c>
      <c r="B8" s="44"/>
      <c r="F8" s="11"/>
      <c r="G8" s="11"/>
      <c r="H8" s="11"/>
      <c r="I8" s="11"/>
      <c r="J8" s="11"/>
    </row>
    <row r="9" spans="1:38" ht="14.25" customHeight="1">
      <c r="A9" s="213"/>
      <c r="B9" s="44"/>
      <c r="F9" s="360" t="s">
        <v>273</v>
      </c>
      <c r="G9" s="361"/>
      <c r="H9" s="361"/>
      <c r="I9" s="361"/>
      <c r="J9" s="361"/>
      <c r="K9" s="361"/>
      <c r="L9" s="361"/>
      <c r="M9" s="361"/>
      <c r="N9" s="361"/>
    </row>
    <row r="10" spans="1:38">
      <c r="A10" s="220" t="s">
        <v>163</v>
      </c>
      <c r="B10" s="44"/>
      <c r="F10" s="362" t="s">
        <v>171</v>
      </c>
      <c r="G10" s="362"/>
      <c r="H10" s="362"/>
      <c r="I10" s="362"/>
      <c r="J10" s="362"/>
      <c r="K10" s="362" t="s">
        <v>173</v>
      </c>
      <c r="L10" s="362"/>
      <c r="M10" s="362"/>
      <c r="N10" s="362"/>
    </row>
    <row r="11" spans="1:38" ht="4.5" customHeight="1">
      <c r="A11" s="220"/>
      <c r="B11" s="44"/>
      <c r="F11" s="362"/>
      <c r="G11" s="362"/>
      <c r="H11" s="362"/>
      <c r="I11" s="362"/>
      <c r="J11" s="362"/>
      <c r="K11" s="362"/>
      <c r="L11" s="362"/>
      <c r="M11" s="362"/>
      <c r="N11" s="362"/>
    </row>
    <row r="12" spans="1:38" ht="14.25" customHeight="1">
      <c r="A12" s="220" t="s">
        <v>259</v>
      </c>
      <c r="B12" s="44"/>
      <c r="F12" s="358" t="s">
        <v>174</v>
      </c>
      <c r="G12" s="358"/>
      <c r="H12" s="358"/>
      <c r="I12" s="358"/>
      <c r="J12" s="358"/>
      <c r="K12" s="359">
        <v>123</v>
      </c>
      <c r="L12" s="359"/>
      <c r="M12" s="359"/>
      <c r="N12" s="359"/>
    </row>
    <row r="13" spans="1:38" ht="3.75" customHeight="1">
      <c r="A13" s="220"/>
      <c r="B13" s="44"/>
      <c r="F13" s="358"/>
      <c r="G13" s="358"/>
      <c r="H13" s="358"/>
      <c r="I13" s="358"/>
      <c r="J13" s="358"/>
      <c r="K13" s="359"/>
      <c r="L13" s="359"/>
      <c r="M13" s="359"/>
      <c r="N13" s="359"/>
    </row>
    <row r="14" spans="1:38" ht="14.25" customHeight="1">
      <c r="A14" s="206" t="s">
        <v>164</v>
      </c>
      <c r="B14" s="44"/>
      <c r="F14" s="358" t="s">
        <v>145</v>
      </c>
      <c r="G14" s="358"/>
      <c r="H14" s="358"/>
      <c r="I14" s="358"/>
      <c r="J14" s="358"/>
      <c r="K14" s="358"/>
      <c r="L14" s="358"/>
      <c r="M14" s="358"/>
      <c r="N14" s="358"/>
    </row>
    <row r="15" spans="1:38" ht="2.25" customHeight="1">
      <c r="A15" s="206"/>
      <c r="B15" s="44"/>
      <c r="F15" s="358"/>
      <c r="G15" s="358"/>
      <c r="H15" s="358"/>
      <c r="I15" s="358"/>
      <c r="J15" s="358"/>
      <c r="K15" s="358"/>
      <c r="L15" s="358"/>
      <c r="M15" s="358"/>
      <c r="N15" s="358"/>
    </row>
    <row r="16" spans="1:38" ht="14.25" customHeight="1">
      <c r="A16" s="234" t="s">
        <v>165</v>
      </c>
      <c r="B16" s="44"/>
      <c r="F16" s="358" t="s">
        <v>274</v>
      </c>
      <c r="G16" s="358"/>
      <c r="H16" s="358"/>
      <c r="I16" s="358"/>
      <c r="J16" s="358"/>
      <c r="K16" s="359" t="s">
        <v>1372</v>
      </c>
      <c r="L16" s="359"/>
      <c r="M16" s="359"/>
      <c r="N16" s="359"/>
    </row>
    <row r="17" spans="1:49" ht="3" customHeight="1">
      <c r="A17" s="213"/>
      <c r="B17" s="44"/>
      <c r="F17" s="358"/>
      <c r="G17" s="358"/>
      <c r="H17" s="358"/>
      <c r="I17" s="358"/>
      <c r="J17" s="358"/>
      <c r="K17" s="359"/>
      <c r="L17" s="359"/>
      <c r="M17" s="359"/>
      <c r="N17" s="359"/>
    </row>
    <row r="18" spans="1:49" s="15" customFormat="1" ht="14.25" customHeight="1">
      <c r="A18" s="206"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06"/>
      <c r="B19" s="44"/>
    </row>
    <row r="20" spans="1:49">
      <c r="A20" s="234" t="s">
        <v>167</v>
      </c>
      <c r="B20" s="44"/>
    </row>
    <row r="21" spans="1:49" ht="4.5" customHeight="1">
      <c r="A21" s="213"/>
      <c r="B21" s="44"/>
    </row>
    <row r="22" spans="1:49" ht="13.9" customHeight="1">
      <c r="A22" s="363" t="s">
        <v>1366</v>
      </c>
      <c r="B22" s="46"/>
      <c r="C22" s="16"/>
      <c r="D22" s="16"/>
      <c r="E22" s="16"/>
    </row>
    <row r="23" spans="1:49" ht="14.25" customHeight="1">
      <c r="A23" s="364"/>
      <c r="B23" s="44"/>
    </row>
    <row r="24" spans="1:49" ht="13.9" customHeight="1">
      <c r="A24" s="221"/>
      <c r="B24" s="44"/>
    </row>
    <row r="25" spans="1:49" ht="14.25" customHeight="1">
      <c r="A25" s="221"/>
      <c r="B25" s="44"/>
    </row>
    <row r="26" spans="1:49" ht="14.25" customHeight="1">
      <c r="A26" s="208"/>
      <c r="B26" s="44"/>
    </row>
    <row r="27" spans="1:49" ht="14.25" customHeight="1">
      <c r="A27" s="208"/>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nOyqRP7qU8qV4lV4D1rkh5tUJEsZAOXnONIs28KUwblM23C+/RX1diqn17nq0xYMlFn859x3lBMSsGfYXJrVDg==" saltValue="3gFM/zmLwnGBHBiTLvmOIQ=="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4166</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4164</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4168</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1851</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3086</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4167</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4165</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3087</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4160</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aqlBNGD/FeT1QsO1SXTr0u48gejO/3Jwt3ZAHTSu0sDLXwo67lEVa3cu0GlXIsjOe1IUeJUvhf6lxGKxHG3y8Q==" saltValue="G7/WZ4ILrdditWDCvLceHQ==" spinCount="100000" sheet="1" objects="1" scenarios="1"/>
  <sortState ref="CL2:CL10">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Props1.xml><?xml version="1.0" encoding="utf-8"?>
<ds:datastoreItem xmlns:ds="http://schemas.openxmlformats.org/officeDocument/2006/customXml" ds:itemID="{DFBE866A-5624-48F2-A482-763F66EAD3A4}">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a39e57ef-928e-48af-a876-9847393d86d6"/>
    <ds:schemaRef ds:uri="3eb71fc0-4b16-438a-8a83-6af8750b73de"/>
    <ds:schemaRef ds:uri="http://purl.org/dc/dcmitype/"/>
  </ds:schemaRefs>
</ds:datastoreItem>
</file>

<file path=customXml/itemProps2.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3.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9ECE592-B35E-4FEF-ABE7-8AB05A466C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2026-05-12T20:19:19Z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