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deantioquia-my.sharepoint.com/personal/carlosre_idea_gov_co/Documents/GERENCIA ADMINISTRATIVA/2025/SUPERVISIONES/COMPRA EPP MOTOS OC 156757/"/>
    </mc:Choice>
  </mc:AlternateContent>
  <xr:revisionPtr revIDLastSave="221" documentId="13_ncr:1_{081D7EBF-8695-4F5A-92AF-34C0C5033DEA}" xr6:coauthVersionLast="47" xr6:coauthVersionMax="47" xr10:uidLastSave="{F8E01B28-542C-4CB3-BDB8-41947C64D6B0}"/>
  <bookViews>
    <workbookView xWindow="-120" yWindow="-120" windowWidth="29040" windowHeight="15720" firstSheet="1" activeTab="1" xr2:uid="{2CD18544-DC15-4F81-9460-6BF4628139F4}"/>
  </bookViews>
  <sheets>
    <sheet name="Hoja1" sheetId="1" state="hidden" r:id="rId1"/>
    <sheet name="EJEC PPTAL 2025" sheetId="3" r:id="rId2"/>
    <sheet name="SALDOS CDP2024" sheetId="11" state="hidden" r:id="rId3"/>
    <sheet name="Memorando Septiembre" sheetId="18" state="hidden" r:id="rId4"/>
    <sheet name="Memorando Junio" sheetId="16" state="hidden" r:id="rId5"/>
    <sheet name="Hoja4" sheetId="15" state="hidden" r:id="rId6"/>
    <sheet name="Resumen " sheetId="17" state="hidden" r:id="rId7"/>
    <sheet name="Hoja3" sheetId="20" state="hidden" r:id="rId8"/>
    <sheet name="RP2025" sheetId="21" state="hidden" r:id="rId9"/>
  </sheets>
  <definedNames>
    <definedName name="_xlnm._FilterDatabase" localSheetId="2" hidden="1">'SALDOS CDP2024'!$B$9:$S$14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H8" i="3" s="1"/>
  <c r="Q25" i="21" l="1"/>
  <c r="S27" i="21"/>
  <c r="S25" i="21" l="1"/>
  <c r="R25" i="21"/>
  <c r="J151" i="17"/>
  <c r="Q20" i="21"/>
  <c r="S9" i="21"/>
  <c r="S8" i="21"/>
  <c r="S7" i="21"/>
  <c r="S6" i="21"/>
  <c r="S5" i="21"/>
  <c r="S4" i="21"/>
  <c r="S3" i="21"/>
  <c r="S2" i="21"/>
  <c r="E36" i="20"/>
  <c r="F36" i="20"/>
  <c r="G36" i="20"/>
  <c r="H36" i="20"/>
  <c r="F35" i="20"/>
  <c r="G34" i="20"/>
  <c r="F34" i="20"/>
  <c r="H34" i="20" s="1"/>
  <c r="F29" i="20"/>
  <c r="G29" i="20" s="1"/>
  <c r="P14" i="21"/>
  <c r="T8" i="21"/>
  <c r="T9" i="21"/>
  <c r="P2" i="21"/>
  <c r="P10" i="21" s="1"/>
  <c r="O10" i="21"/>
  <c r="L3" i="21"/>
  <c r="L4" i="21"/>
  <c r="L5" i="21"/>
  <c r="L6" i="21"/>
  <c r="L7" i="21"/>
  <c r="L8" i="21"/>
  <c r="L9" i="21"/>
  <c r="L2" i="21"/>
  <c r="T7" i="21" l="1"/>
  <c r="T6" i="21"/>
  <c r="T4" i="21"/>
  <c r="S19" i="21"/>
  <c r="S10" i="21"/>
  <c r="G35" i="20"/>
  <c r="H35" i="20" s="1"/>
  <c r="H29" i="20"/>
  <c r="P20" i="21"/>
  <c r="T3" i="21"/>
  <c r="T5" i="21"/>
  <c r="V2" i="21"/>
  <c r="W2" i="21" s="1"/>
  <c r="T2" i="21"/>
  <c r="X2" i="21"/>
  <c r="L10" i="21"/>
  <c r="T10" i="21" l="1"/>
  <c r="R12" i="21" s="1"/>
  <c r="R20" i="21"/>
  <c r="S18" i="21"/>
  <c r="S20" i="21" s="1"/>
  <c r="L136" i="17"/>
  <c r="K155" i="17"/>
  <c r="L152" i="17"/>
  <c r="F158" i="17"/>
  <c r="G158" i="17" s="1"/>
  <c r="D157" i="17"/>
  <c r="I157" i="17"/>
  <c r="F157" i="17"/>
  <c r="F159" i="17" l="1"/>
  <c r="L143" i="17"/>
  <c r="K142" i="17"/>
  <c r="L149" i="17"/>
  <c r="K149" i="17"/>
  <c r="M142" i="17"/>
  <c r="K141" i="17"/>
  <c r="P141" i="17" s="1"/>
  <c r="Q141" i="17" s="1"/>
  <c r="R141" i="17" s="1"/>
  <c r="K143" i="17" l="1"/>
  <c r="M141" i="17"/>
  <c r="M143" i="17" s="1"/>
  <c r="K148" i="17"/>
  <c r="H7" i="3"/>
  <c r="H9" i="3" s="1"/>
  <c r="I16" i="3" l="1"/>
  <c r="K150" i="17"/>
  <c r="L148" i="17"/>
  <c r="H127" i="17"/>
  <c r="K124" i="17"/>
  <c r="K128" i="17"/>
  <c r="K121" i="17"/>
  <c r="K122" i="17" s="1"/>
  <c r="J124" i="17"/>
  <c r="J113" i="17"/>
  <c r="J108" i="17"/>
  <c r="AA91" i="17"/>
  <c r="W78" i="17"/>
  <c r="I105" i="17"/>
  <c r="W95" i="17"/>
  <c r="Y90" i="17"/>
  <c r="Y91" i="17"/>
  <c r="Y92" i="17"/>
  <c r="Y93" i="17"/>
  <c r="Y94" i="17"/>
  <c r="Y89" i="17"/>
  <c r="U81" i="17"/>
  <c r="P85" i="17"/>
  <c r="Q82" i="17"/>
  <c r="R80" i="17"/>
  <c r="I69" i="17"/>
  <c r="I72" i="17"/>
  <c r="P68" i="17"/>
  <c r="P73" i="17" s="1"/>
  <c r="Y95" i="17" l="1"/>
  <c r="P76" i="17"/>
  <c r="P77" i="17" s="1"/>
  <c r="I76" i="17"/>
  <c r="K77" i="17" s="1"/>
  <c r="Q83" i="17"/>
  <c r="L70" i="17"/>
  <c r="H94" i="17"/>
  <c r="H88" i="17"/>
  <c r="I88" i="17" s="1"/>
  <c r="J81" i="17"/>
  <c r="J88" i="17" l="1"/>
  <c r="I94" i="17"/>
  <c r="J94" i="17" s="1"/>
  <c r="P63" i="17" l="1"/>
  <c r="I41" i="17"/>
  <c r="K34" i="17"/>
  <c r="U53" i="17" l="1"/>
  <c r="V53" i="17" s="1"/>
  <c r="S52" i="17"/>
  <c r="S51" i="17"/>
  <c r="U42" i="17"/>
  <c r="V42" i="17" s="1"/>
  <c r="U41" i="17"/>
  <c r="S55" i="17" l="1"/>
  <c r="U51" i="17"/>
  <c r="V51" i="17" s="1"/>
  <c r="V41" i="17"/>
  <c r="U43" i="17"/>
  <c r="U52" i="17"/>
  <c r="V52" i="17" s="1"/>
  <c r="U54" i="17"/>
  <c r="V54" i="17" s="1"/>
  <c r="S43" i="17"/>
  <c r="H43" i="17"/>
  <c r="V43" i="17" l="1"/>
  <c r="U55" i="17"/>
  <c r="K41" i="17"/>
  <c r="K43" i="17" s="1"/>
  <c r="V55" i="17"/>
  <c r="J43" i="17"/>
  <c r="I43" i="17"/>
  <c r="F26" i="18" l="1"/>
  <c r="I30" i="18"/>
  <c r="L31" i="18"/>
  <c r="F25" i="18" l="1"/>
  <c r="G25" i="18" s="1"/>
  <c r="H25" i="18" s="1"/>
  <c r="F24" i="18"/>
  <c r="F23" i="18"/>
  <c r="G16" i="18"/>
  <c r="H16" i="18" s="1"/>
  <c r="G15" i="18"/>
  <c r="H15" i="18" s="1"/>
  <c r="G14" i="18"/>
  <c r="H14" i="18" s="1"/>
  <c r="I7" i="18"/>
  <c r="F22" i="17"/>
  <c r="G22" i="17" s="1"/>
  <c r="F21" i="17"/>
  <c r="F20" i="17"/>
  <c r="G20" i="17" s="1"/>
  <c r="H20" i="17" s="1"/>
  <c r="F19" i="17"/>
  <c r="G10" i="17"/>
  <c r="F9" i="17"/>
  <c r="G9" i="17" s="1"/>
  <c r="H9" i="17" s="1"/>
  <c r="F8" i="17"/>
  <c r="G8" i="17" s="1"/>
  <c r="F7" i="17"/>
  <c r="F28" i="16"/>
  <c r="G28" i="16" s="1"/>
  <c r="H28" i="16" s="1"/>
  <c r="I28" i="16" s="1"/>
  <c r="L28" i="16" s="1"/>
  <c r="F27" i="16"/>
  <c r="G27" i="16" s="1"/>
  <c r="H27" i="16" s="1"/>
  <c r="F26" i="16"/>
  <c r="G26" i="16"/>
  <c r="H26" i="16" s="1"/>
  <c r="I26" i="16" s="1"/>
  <c r="L26" i="16" s="1"/>
  <c r="F13" i="16"/>
  <c r="G13" i="16" s="1"/>
  <c r="H13" i="16" s="1"/>
  <c r="I13" i="16" s="1"/>
  <c r="L13" i="16" s="1"/>
  <c r="F14" i="16"/>
  <c r="F25" i="16"/>
  <c r="G25" i="16" s="1"/>
  <c r="F15" i="16"/>
  <c r="G15" i="16" s="1"/>
  <c r="H15" i="16" s="1"/>
  <c r="I15" i="16" s="1"/>
  <c r="L15" i="16" s="1"/>
  <c r="R29" i="16"/>
  <c r="R17" i="16"/>
  <c r="P25" i="16"/>
  <c r="O14" i="16"/>
  <c r="G16" i="16"/>
  <c r="H16" i="16" s="1"/>
  <c r="Q27" i="11"/>
  <c r="P23" i="11"/>
  <c r="P22" i="11"/>
  <c r="P21" i="11"/>
  <c r="P20" i="11"/>
  <c r="P19" i="11"/>
  <c r="P13" i="11"/>
  <c r="P12" i="11"/>
  <c r="P11" i="11"/>
  <c r="P10" i="11"/>
  <c r="T4" i="11"/>
  <c r="F11" i="17" l="1"/>
  <c r="F17" i="18"/>
  <c r="F27" i="18"/>
  <c r="I16" i="18"/>
  <c r="G13" i="18"/>
  <c r="H13" i="18" s="1"/>
  <c r="H17" i="18" s="1"/>
  <c r="G23" i="18"/>
  <c r="H23" i="18" s="1"/>
  <c r="I14" i="18"/>
  <c r="G24" i="18"/>
  <c r="H24" i="18" s="1"/>
  <c r="I24" i="18" s="1"/>
  <c r="G26" i="18"/>
  <c r="H26" i="18" s="1"/>
  <c r="I25" i="18"/>
  <c r="I15" i="18"/>
  <c r="H8" i="17"/>
  <c r="I8" i="17" s="1"/>
  <c r="G7" i="17"/>
  <c r="H22" i="17"/>
  <c r="I22" i="17" s="1"/>
  <c r="I20" i="17"/>
  <c r="I9" i="17"/>
  <c r="F23" i="17"/>
  <c r="G19" i="17"/>
  <c r="G21" i="17"/>
  <c r="H21" i="17" s="1"/>
  <c r="H10" i="17"/>
  <c r="I10" i="17" s="1"/>
  <c r="F29" i="16"/>
  <c r="F17" i="16"/>
  <c r="G29" i="16"/>
  <c r="I27" i="16"/>
  <c r="G14" i="16"/>
  <c r="H14" i="16" s="1"/>
  <c r="H25" i="16"/>
  <c r="H29" i="16" s="1"/>
  <c r="I16" i="16"/>
  <c r="L16" i="16" s="1"/>
  <c r="G13" i="15"/>
  <c r="I27" i="11"/>
  <c r="I5" i="11"/>
  <c r="I24" i="11"/>
  <c r="I14" i="11"/>
  <c r="H16" i="3"/>
  <c r="P4" i="11"/>
  <c r="R4" i="11" s="1"/>
  <c r="G16" i="3" l="1"/>
  <c r="J16" i="3"/>
  <c r="J18" i="3" s="1"/>
  <c r="I13" i="18"/>
  <c r="I17" i="18" s="1"/>
  <c r="N25" i="18" s="1"/>
  <c r="G17" i="18"/>
  <c r="I23" i="18"/>
  <c r="G27" i="18"/>
  <c r="H27" i="18"/>
  <c r="I26" i="18"/>
  <c r="I27" i="18" s="1"/>
  <c r="I29" i="18" s="1"/>
  <c r="I31" i="18" s="1"/>
  <c r="H7" i="17"/>
  <c r="H11" i="17" s="1"/>
  <c r="G11" i="17"/>
  <c r="I21" i="17"/>
  <c r="H19" i="17"/>
  <c r="H23" i="17" s="1"/>
  <c r="G23" i="17"/>
  <c r="L27" i="16"/>
  <c r="G17" i="16"/>
  <c r="I25" i="16"/>
  <c r="Q25" i="16" s="1"/>
  <c r="I14" i="16"/>
  <c r="P14" i="16" s="1"/>
  <c r="H17" i="16"/>
  <c r="I7" i="16"/>
  <c r="I7" i="17" l="1"/>
  <c r="I11" i="17" s="1"/>
  <c r="I19" i="17"/>
  <c r="I23" i="17" s="1"/>
  <c r="I25" i="17" s="1"/>
  <c r="I29" i="16"/>
  <c r="L25" i="16"/>
  <c r="I17" i="16"/>
  <c r="I32" i="16" s="1"/>
  <c r="L14" i="16"/>
  <c r="H30" i="15" l="1"/>
  <c r="G14" i="1" l="1"/>
  <c r="D37" i="1"/>
  <c r="G8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G6" i="1"/>
  <c r="I6" i="1"/>
  <c r="G9" i="1"/>
  <c r="G15" i="1"/>
  <c r="H5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F14" i="1"/>
  <c r="I5" i="1"/>
  <c r="F25" i="1"/>
  <c r="F31" i="1"/>
  <c r="F15" i="1"/>
  <c r="G16" i="1"/>
  <c r="F16" i="1"/>
  <c r="G17" i="1"/>
  <c r="F17" i="1"/>
  <c r="G18" i="1"/>
  <c r="F18" i="1"/>
  <c r="G19" i="1"/>
  <c r="F19" i="1"/>
  <c r="G20" i="1"/>
  <c r="F20" i="1"/>
  <c r="G21" i="1"/>
  <c r="F21" i="1"/>
  <c r="G22" i="1"/>
  <c r="F22" i="1"/>
  <c r="G23" i="1"/>
  <c r="F23" i="1"/>
  <c r="G24" i="1"/>
  <c r="G26" i="1"/>
  <c r="F24" i="1"/>
  <c r="G27" i="1"/>
  <c r="F26" i="1"/>
  <c r="G28" i="1"/>
  <c r="F27" i="1"/>
  <c r="G29" i="1"/>
  <c r="F28" i="1"/>
  <c r="G30" i="1"/>
  <c r="F29" i="1"/>
  <c r="G32" i="1"/>
  <c r="F30" i="1"/>
  <c r="G33" i="1"/>
  <c r="F33" i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Maria Muñoz Rodriguez</author>
    <author>tc={5F034B89-BE40-404A-84CF-6C0DC8BCBD8D}</author>
  </authors>
  <commentList>
    <comment ref="M11" authorId="0" shapeId="0" xr:uid="{62E60941-19D9-431C-9AA8-875C00C11989}">
      <text>
        <r>
          <rPr>
            <b/>
            <sz val="9"/>
            <color indexed="81"/>
            <rFont val="Tahoma"/>
            <family val="2"/>
          </rPr>
          <t>Diana Maria Muñoz Rodriguez:</t>
        </r>
        <r>
          <rPr>
            <sz val="9"/>
            <color indexed="81"/>
            <rFont val="Tahoma"/>
            <family val="2"/>
          </rPr>
          <t xml:space="preserve">
IVA del 5%</t>
        </r>
      </text>
    </comment>
    <comment ref="M22" authorId="1" shapeId="0" xr:uid="{5F034B89-BE40-404A-84CF-6C0DC8BCBD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IVA DEL 5%</t>
      </text>
    </comment>
  </commentList>
</comments>
</file>

<file path=xl/sharedStrings.xml><?xml version="1.0" encoding="utf-8"?>
<sst xmlns="http://schemas.openxmlformats.org/spreadsheetml/2006/main" count="655" uniqueCount="254">
  <si>
    <t>CONTRATISTA</t>
  </si>
  <si>
    <t>MARIA EUGENIA RAMOS NIT  31851754</t>
  </si>
  <si>
    <t>No. CONTRATO</t>
  </si>
  <si>
    <t>0054 del 28 de JULIO de 2020</t>
  </si>
  <si>
    <t>PLAZO</t>
  </si>
  <si>
    <t>A partir de la suscripción Acta de Inicio, hasta el Seis  (6) de diciembre de 2020</t>
  </si>
  <si>
    <t>RUBRO</t>
  </si>
  <si>
    <t>dp</t>
  </si>
  <si>
    <t>Rp</t>
  </si>
  <si>
    <t>VR CONTRATO</t>
  </si>
  <si>
    <t xml:space="preserve">VALOR CONTRATO </t>
  </si>
  <si>
    <t>MATERIALES Y SUMINISTROS</t>
  </si>
  <si>
    <t>Acta de Inicio</t>
  </si>
  <si>
    <t>Adición 1</t>
  </si>
  <si>
    <t>Adición 2</t>
  </si>
  <si>
    <t>EJECUCIÓN</t>
  </si>
  <si>
    <t xml:space="preserve">Fecha de Terminación </t>
  </si>
  <si>
    <t>Fecha Prórroga</t>
  </si>
  <si>
    <t>No.</t>
  </si>
  <si>
    <t>FECHA factura</t>
  </si>
  <si>
    <t>FACTURA N.</t>
  </si>
  <si>
    <t>VALOR</t>
  </si>
  <si>
    <t>ACTA No</t>
  </si>
  <si>
    <t>EJECUTADO</t>
  </si>
  <si>
    <t>VALOR EJECUCIÓN</t>
  </si>
  <si>
    <t>SALDO PENDIENTE</t>
  </si>
  <si>
    <t>ACUMULADO DE PAGOS</t>
  </si>
  <si>
    <t>%</t>
  </si>
  <si>
    <t>FE 483</t>
  </si>
  <si>
    <r>
      <t>(</t>
    </r>
    <r>
      <rPr>
        <b/>
        <sz val="11"/>
        <color rgb="FF000000"/>
        <rFont val="Arial Narrow"/>
        <family val="2"/>
      </rPr>
      <t>$65142198</t>
    </r>
  </si>
  <si>
    <t>TOTAL</t>
  </si>
  <si>
    <t>PENDIENTE</t>
  </si>
  <si>
    <t>CPC</t>
  </si>
  <si>
    <t>FECHA FACTURA</t>
  </si>
  <si>
    <t>Descripción CPC</t>
  </si>
  <si>
    <t>Código CPC</t>
  </si>
  <si>
    <t>Valor</t>
  </si>
  <si>
    <t>Necesidad</t>
  </si>
  <si>
    <t>Servicios de limpieza general</t>
  </si>
  <si>
    <t xml:space="preserve">VALOR SOLICITADO </t>
  </si>
  <si>
    <t xml:space="preserve">Rubro </t>
  </si>
  <si>
    <t>SALDO</t>
  </si>
  <si>
    <t>RP</t>
  </si>
  <si>
    <t>CDP</t>
  </si>
  <si>
    <t>FEBRERO VALOR TOTAL</t>
  </si>
  <si>
    <t>VALOR PRODUCTO</t>
  </si>
  <si>
    <t xml:space="preserve">VALOR IVA </t>
  </si>
  <si>
    <t>INSUMOS DE ASEO</t>
  </si>
  <si>
    <t>DESCRIPCIÓN ESPECIFICA</t>
  </si>
  <si>
    <t xml:space="preserve">RP </t>
  </si>
  <si>
    <t>SUBTOTAL</t>
  </si>
  <si>
    <t xml:space="preserve"> IVA 5%</t>
  </si>
  <si>
    <t xml:space="preserve"> IVA 16% 0 19% </t>
  </si>
  <si>
    <t xml:space="preserve"> TOTAL  </t>
  </si>
  <si>
    <t xml:space="preserve">INSUMOS DE CAFETERIA </t>
  </si>
  <si>
    <t>FACTURA #ASEA9281</t>
  </si>
  <si>
    <t>VALOR JUNIO</t>
  </si>
  <si>
    <t>VALOR MAYO</t>
  </si>
  <si>
    <t>VALOR JULIO</t>
  </si>
  <si>
    <t>Productos alimenticios, bebidas y tabaco, textiles</t>
  </si>
  <si>
    <t>2120201003</t>
  </si>
  <si>
    <t>Otros bienes transportables (excepto productos met</t>
  </si>
  <si>
    <t>SERVICIOS</t>
  </si>
  <si>
    <t>AZUCAR</t>
  </si>
  <si>
    <t xml:space="preserve">LECHE </t>
  </si>
  <si>
    <t>CAFÉ</t>
  </si>
  <si>
    <t>INSUMOS DE CAFETERIA</t>
  </si>
  <si>
    <t>AROMATICAS</t>
  </si>
  <si>
    <t>20240000293</t>
  </si>
  <si>
    <t>20240008173</t>
  </si>
  <si>
    <t>20240008174</t>
  </si>
  <si>
    <t>20240000294</t>
  </si>
  <si>
    <t>20240000295</t>
  </si>
  <si>
    <t>20240008175</t>
  </si>
  <si>
    <t>20240000296</t>
  </si>
  <si>
    <t>20240008176</t>
  </si>
  <si>
    <t>20240000297</t>
  </si>
  <si>
    <t>20240008177</t>
  </si>
  <si>
    <t>TOTAL CONTRATO</t>
  </si>
  <si>
    <t>ORDEN DE COMPRA</t>
  </si>
  <si>
    <t xml:space="preserve">CDP </t>
  </si>
  <si>
    <t>Papel</t>
  </si>
  <si>
    <t>Desengrase</t>
  </si>
  <si>
    <t>Maderas y Metales</t>
  </si>
  <si>
    <t>Plastico</t>
  </si>
  <si>
    <t>Otros</t>
  </si>
  <si>
    <t>ok</t>
  </si>
  <si>
    <t>UTILIDAD 10%</t>
  </si>
  <si>
    <t xml:space="preserve"> IVA 5% 0 19% </t>
  </si>
  <si>
    <t>Insumos de Aseo</t>
  </si>
  <si>
    <t>Insumos de Cafetería</t>
  </si>
  <si>
    <t>FACTURA #ASEA9982</t>
  </si>
  <si>
    <t>RUBRO  2120201002</t>
  </si>
  <si>
    <t>RUBRO  2120201003</t>
  </si>
  <si>
    <t>sald rp</t>
  </si>
  <si>
    <t>FACTURA #ASEA10318</t>
  </si>
  <si>
    <t>FACTURA #ASEA10319</t>
  </si>
  <si>
    <t>NESEC</t>
  </si>
  <si>
    <t>Saldos de rp y PAC</t>
  </si>
  <si>
    <t xml:space="preserve">VALOR </t>
  </si>
  <si>
    <t xml:space="preserve">EJECUTADO </t>
  </si>
  <si>
    <t xml:space="preserve">DISPINIBLE </t>
  </si>
  <si>
    <t>PAC  OCTUBRE</t>
  </si>
  <si>
    <t>FACTURA #ASEA 10516</t>
  </si>
  <si>
    <t>FACTURA #ASEA 10517</t>
  </si>
  <si>
    <t>FACTURA #ASEA 10579</t>
  </si>
  <si>
    <t>FACTURA #ASEA 10580</t>
  </si>
  <si>
    <t>nec</t>
  </si>
  <si>
    <t>rp</t>
  </si>
  <si>
    <t xml:space="preserve">valor </t>
  </si>
  <si>
    <t xml:space="preserve">ejecutado </t>
  </si>
  <si>
    <t xml:space="preserve">saldo </t>
  </si>
  <si>
    <t>pac 11</t>
  </si>
  <si>
    <t xml:space="preserve">           2.778.000 </t>
  </si>
  <si>
    <t xml:space="preserve">           2.777.918 </t>
  </si>
  <si>
    <t xml:space="preserve">                         82 </t>
  </si>
  <si>
    <t xml:space="preserve">                          82 </t>
  </si>
  <si>
    <t xml:space="preserve">           6.289.172 </t>
  </si>
  <si>
    <t xml:space="preserve">           6.288.432 </t>
  </si>
  <si>
    <t xml:space="preserve">                       740 </t>
  </si>
  <si>
    <t xml:space="preserve">         28.360.000 </t>
  </si>
  <si>
    <t xml:space="preserve">         10.342.663 </t>
  </si>
  <si>
    <t xml:space="preserve">         18.017.337 </t>
  </si>
  <si>
    <t xml:space="preserve">         22.558.000 </t>
  </si>
  <si>
    <t xml:space="preserve">           2.683.367 </t>
  </si>
  <si>
    <t xml:space="preserve">           1.988.948 </t>
  </si>
  <si>
    <t xml:space="preserve">               694.419 </t>
  </si>
  <si>
    <t xml:space="preserve">           8.894.679 </t>
  </si>
  <si>
    <t xml:space="preserve">         30.773.512 </t>
  </si>
  <si>
    <t xml:space="preserve">         10.186.477 </t>
  </si>
  <si>
    <t xml:space="preserve">         20.587.035 </t>
  </si>
  <si>
    <t xml:space="preserve">         98.371.000 </t>
  </si>
  <si>
    <t xml:space="preserve">           5.883.000 </t>
  </si>
  <si>
    <t xml:space="preserve">           3.729.756 </t>
  </si>
  <si>
    <t xml:space="preserve">           2.153.244 </t>
  </si>
  <si>
    <t xml:space="preserve">           1.904.000 </t>
  </si>
  <si>
    <t xml:space="preserve">               960.000 </t>
  </si>
  <si>
    <t xml:space="preserve">               520.290 </t>
  </si>
  <si>
    <t xml:space="preserve">               439.710 </t>
  </si>
  <si>
    <t xml:space="preserve">               249.710 </t>
  </si>
  <si>
    <t xml:space="preserve">           6.365.241 </t>
  </si>
  <si>
    <t xml:space="preserve">           4.534.812 </t>
  </si>
  <si>
    <t xml:space="preserve">           1.830.429 </t>
  </si>
  <si>
    <t xml:space="preserve">           1.416.000 </t>
  </si>
  <si>
    <t xml:space="preserve"> IVA   19% </t>
  </si>
  <si>
    <t xml:space="preserve">POR EJECUTAR Y PAC </t>
  </si>
  <si>
    <t xml:space="preserve">   295.461.872,00 </t>
  </si>
  <si>
    <t xml:space="preserve">   237.095.603,00 </t>
  </si>
  <si>
    <t xml:space="preserve">                58.366.269,00 </t>
  </si>
  <si>
    <t xml:space="preserve">       2.778.000,00 </t>
  </si>
  <si>
    <t xml:space="preserve">       2.777.918,00 </t>
  </si>
  <si>
    <t xml:space="preserve">                                82,00 </t>
  </si>
  <si>
    <t xml:space="preserve">       6.289.172,00 </t>
  </si>
  <si>
    <t xml:space="preserve">       6.288.432,00 </t>
  </si>
  <si>
    <t xml:space="preserve">                              740,00 </t>
  </si>
  <si>
    <t xml:space="preserve">     28.360.000,00 </t>
  </si>
  <si>
    <t xml:space="preserve">     19.518.988,00 </t>
  </si>
  <si>
    <t xml:space="preserve">                  8.841.012,00 </t>
  </si>
  <si>
    <t xml:space="preserve">       2.683.367,00 </t>
  </si>
  <si>
    <t xml:space="preserve">       2.425.357,00 </t>
  </si>
  <si>
    <t xml:space="preserve">                      258.010,00 </t>
  </si>
  <si>
    <t xml:space="preserve">     30.773.512,00 </t>
  </si>
  <si>
    <t xml:space="preserve">     12.189.509,00 </t>
  </si>
  <si>
    <t xml:space="preserve">                18.584.003,00 </t>
  </si>
  <si>
    <t xml:space="preserve">       5.883.000,00 </t>
  </si>
  <si>
    <t xml:space="preserve">       4.624.956,00 </t>
  </si>
  <si>
    <t xml:space="preserve">                  1.258.044,00 </t>
  </si>
  <si>
    <t xml:space="preserve">           960.000,00 </t>
  </si>
  <si>
    <t xml:space="preserve">           658.464,00 </t>
  </si>
  <si>
    <t xml:space="preserve">                      301.536,00 </t>
  </si>
  <si>
    <t xml:space="preserve">       6.365.241,00 </t>
  </si>
  <si>
    <t xml:space="preserve">       5.769.684,00 </t>
  </si>
  <si>
    <t xml:space="preserve">                      595.557,00 </t>
  </si>
  <si>
    <t>SALDOS AL 30 DE NOVIEMBRE</t>
  </si>
  <si>
    <t>FACTURA #ASEA 10669</t>
  </si>
  <si>
    <t>FACTURA #ASEA 10670</t>
  </si>
  <si>
    <t xml:space="preserve"> IVA   5 % o19% </t>
  </si>
  <si>
    <t>FACTURA #ASEA 10661</t>
  </si>
  <si>
    <t>café</t>
  </si>
  <si>
    <t>fumigación</t>
  </si>
  <si>
    <t>ambientador</t>
  </si>
  <si>
    <t>valor</t>
  </si>
  <si>
    <t>Instacren</t>
  </si>
  <si>
    <t xml:space="preserve">VALOR RP  </t>
  </si>
  <si>
    <t xml:space="preserve"> V/R EJECUTADO RP </t>
  </si>
  <si>
    <t xml:space="preserve">         295.461.872 </t>
  </si>
  <si>
    <t xml:space="preserve">         274.028.188 </t>
  </si>
  <si>
    <t xml:space="preserve">             2.778.000 </t>
  </si>
  <si>
    <t xml:space="preserve">             2.777.918 </t>
  </si>
  <si>
    <t xml:space="preserve">             6.289.172 </t>
  </si>
  <si>
    <t xml:space="preserve">             6.288.432 </t>
  </si>
  <si>
    <t xml:space="preserve">           28.360.000 </t>
  </si>
  <si>
    <t xml:space="preserve">           25.788.510 </t>
  </si>
  <si>
    <t xml:space="preserve">             2.683.367 </t>
  </si>
  <si>
    <t xml:space="preserve">             2.425.357 </t>
  </si>
  <si>
    <t xml:space="preserve">           30.773.512 </t>
  </si>
  <si>
    <t xml:space="preserve">           16.420.784 </t>
  </si>
  <si>
    <t xml:space="preserve">             5.883.000 </t>
  </si>
  <si>
    <t xml:space="preserve">             4.624.956 </t>
  </si>
  <si>
    <t xml:space="preserve">                 960.000 </t>
  </si>
  <si>
    <t xml:space="preserve">                 658.464 </t>
  </si>
  <si>
    <t xml:space="preserve">             6.365.241 </t>
  </si>
  <si>
    <t xml:space="preserve">             5.769.684 </t>
  </si>
  <si>
    <t>=</t>
  </si>
  <si>
    <t xml:space="preserve">  </t>
  </si>
  <si>
    <t>FACTURA #ASEA 10804</t>
  </si>
  <si>
    <t>Insumos de Cafeteria</t>
  </si>
  <si>
    <t>RUBRO: 2120201002</t>
  </si>
  <si>
    <t>Servicios de  acueducto</t>
  </si>
  <si>
    <t>IVA</t>
  </si>
  <si>
    <t>NECESIDAD</t>
  </si>
  <si>
    <t>DESCRIPCION</t>
  </si>
  <si>
    <t>insumos de aseo</t>
  </si>
  <si>
    <t>Servicio</t>
  </si>
  <si>
    <t>ASEA 11100</t>
  </si>
  <si>
    <t>ASEA 11101</t>
  </si>
  <si>
    <t xml:space="preserve">Valor inicial </t>
  </si>
  <si>
    <t xml:space="preserve">Valor  Adición #1 </t>
  </si>
  <si>
    <t>TOTAL inicial + adición</t>
  </si>
  <si>
    <t xml:space="preserve">INSUMOS DE ASEO </t>
  </si>
  <si>
    <t>Concepto (Especifico)</t>
  </si>
  <si>
    <t xml:space="preserve"> RP</t>
  </si>
  <si>
    <t xml:space="preserve"> ADMINTRACIÓN 10%</t>
  </si>
  <si>
    <t xml:space="preserve"> </t>
  </si>
  <si>
    <t xml:space="preserve"> Servicios de limpieza general</t>
  </si>
  <si>
    <t xml:space="preserve">marzo </t>
  </si>
  <si>
    <t>2120202008</t>
  </si>
  <si>
    <t>2120201002</t>
  </si>
  <si>
    <t>enero</t>
  </si>
  <si>
    <t>febrero</t>
  </si>
  <si>
    <t>abril</t>
  </si>
  <si>
    <t>ENERO FACTURADO</t>
  </si>
  <si>
    <t xml:space="preserve">FEBRERO </t>
  </si>
  <si>
    <t>ACUMULADO</t>
  </si>
  <si>
    <t>10% ADM</t>
  </si>
  <si>
    <t>Total</t>
  </si>
  <si>
    <t>iva 19%</t>
  </si>
  <si>
    <t>Factura ASEA 11276</t>
  </si>
  <si>
    <t xml:space="preserve">Concepto </t>
  </si>
  <si>
    <t>Factura  ASEA 11277</t>
  </si>
  <si>
    <t>GESTIÓN TRANSPARENTE</t>
  </si>
  <si>
    <t>VENCIMIENTO FACTURA</t>
  </si>
  <si>
    <t>QUIEN GESTIONA</t>
  </si>
  <si>
    <t>MARZO</t>
  </si>
  <si>
    <t>ABRIL</t>
  </si>
  <si>
    <t>$17.040.466 </t>
  </si>
  <si>
    <t>$1.704.046 </t>
  </si>
  <si>
    <t>$323.769 </t>
  </si>
  <si>
    <t>$19.068.281 </t>
  </si>
  <si>
    <t>CARLOS RICO</t>
  </si>
  <si>
    <t>PROVEER INSTITUCIONAL SAS</t>
  </si>
  <si>
    <t xml:space="preserve"> 0425 de 2025</t>
  </si>
  <si>
    <t>El plazo del contrato será a partir del inicio de ejecución en la plataforma SECOP II, hasta el 30 de diciembre de 2025.</t>
  </si>
  <si>
    <t>LICI113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</si>
</sst>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#,##0.00_ ;\-#,##0.00\ "/>
    <numFmt numFmtId="170" formatCode="_-&quot;$&quot;* #,##0_-;\-&quot;$&quot;* #,##0_-;_-&quot;$&quot;* &quot;-&quot;_-;_-@_-"/>
    <numFmt numFmtId="171" formatCode="_(&quot;$&quot;* #,##0_);_(&quot;$&quot;* \(#,##0\);_(&quot;$&quot;* &quot;-&quot;??_);_(@_)"/>
    <numFmt numFmtId="172" formatCode="_-* #,##0_-;\-* #,##0_-;_-* &quot;-&quot;??_-;_-@_-"/>
    <numFmt numFmtId="173" formatCode="_(&quot;$&quot;* #,##0.00_);_(&quot;$&quot;* \(#,##0.00\);_(&quot;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rgb="FF000000"/>
      <name val="Arial Narrow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Arial"/>
      <family val="1"/>
    </font>
    <font>
      <b/>
      <sz val="7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9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Aptos Narrow"/>
      <family val="2"/>
    </font>
    <font>
      <b/>
      <sz val="8"/>
      <color rgb="FF000000"/>
      <name val="Aptos Narrow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ptos"/>
      <family val="2"/>
    </font>
    <font>
      <b/>
      <sz val="11"/>
      <color rgb="FFFFFFFF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AF2D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6" fontId="6" fillId="2" borderId="1" xfId="0" applyNumberFormat="1" applyFont="1" applyFill="1" applyBorder="1"/>
    <xf numFmtId="3" fontId="0" fillId="0" borderId="0" xfId="0" applyNumberFormat="1"/>
    <xf numFmtId="10" fontId="1" fillId="0" borderId="0" xfId="1" applyNumberFormat="1" applyFont="1"/>
    <xf numFmtId="164" fontId="0" fillId="0" borderId="0" xfId="2" applyFont="1"/>
    <xf numFmtId="14" fontId="0" fillId="0" borderId="0" xfId="0" applyNumberFormat="1"/>
    <xf numFmtId="14" fontId="8" fillId="0" borderId="0" xfId="0" applyNumberFormat="1" applyFont="1"/>
    <xf numFmtId="166" fontId="1" fillId="0" borderId="0" xfId="2" applyNumberFormat="1" applyFont="1"/>
    <xf numFmtId="167" fontId="0" fillId="0" borderId="0" xfId="0" applyNumberFormat="1"/>
    <xf numFmtId="39" fontId="0" fillId="0" borderId="0" xfId="3" applyNumberFormat="1" applyFont="1"/>
    <xf numFmtId="166" fontId="2" fillId="0" borderId="0" xfId="0" applyNumberFormat="1" applyFont="1"/>
    <xf numFmtId="166" fontId="0" fillId="0" borderId="0" xfId="0" applyNumberFormat="1"/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7" fontId="1" fillId="0" borderId="13" xfId="4" applyNumberFormat="1" applyFont="1" applyBorder="1"/>
    <xf numFmtId="0" fontId="0" fillId="0" borderId="13" xfId="0" applyBorder="1" applyAlignment="1">
      <alignment horizontal="center" vertical="center"/>
    </xf>
    <xf numFmtId="10" fontId="1" fillId="0" borderId="14" xfId="1" applyNumberFormat="1" applyFont="1" applyBorder="1" applyAlignment="1">
      <alignment horizontal="center"/>
    </xf>
    <xf numFmtId="167" fontId="0" fillId="0" borderId="13" xfId="0" applyNumberFormat="1" applyBorder="1"/>
    <xf numFmtId="166" fontId="0" fillId="0" borderId="15" xfId="0" applyNumberFormat="1" applyBorder="1"/>
    <xf numFmtId="167" fontId="0" fillId="0" borderId="16" xfId="0" applyNumberFormat="1" applyBorder="1"/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7" fontId="1" fillId="0" borderId="14" xfId="4" applyNumberFormat="1" applyFont="1" applyBorder="1"/>
    <xf numFmtId="0" fontId="0" fillId="0" borderId="14" xfId="0" applyBorder="1" applyAlignment="1">
      <alignment horizontal="center" vertical="center"/>
    </xf>
    <xf numFmtId="167" fontId="0" fillId="0" borderId="14" xfId="0" applyNumberFormat="1" applyBorder="1"/>
    <xf numFmtId="166" fontId="0" fillId="0" borderId="18" xfId="0" applyNumberFormat="1" applyBorder="1"/>
    <xf numFmtId="167" fontId="0" fillId="0" borderId="19" xfId="0" applyNumberFormat="1" applyBorder="1"/>
    <xf numFmtId="0" fontId="9" fillId="0" borderId="0" xfId="0" applyFont="1"/>
    <xf numFmtId="167" fontId="0" fillId="0" borderId="14" xfId="4" applyNumberFormat="1" applyFont="1" applyBorder="1"/>
    <xf numFmtId="0" fontId="2" fillId="0" borderId="20" xfId="0" applyFont="1" applyBorder="1"/>
    <xf numFmtId="0" fontId="2" fillId="0" borderId="21" xfId="0" applyFont="1" applyBorder="1"/>
    <xf numFmtId="3" fontId="2" fillId="0" borderId="21" xfId="0" applyNumberFormat="1" applyFont="1" applyBorder="1"/>
    <xf numFmtId="10" fontId="2" fillId="0" borderId="21" xfId="0" applyNumberFormat="1" applyFont="1" applyBorder="1"/>
    <xf numFmtId="10" fontId="2" fillId="0" borderId="22" xfId="1" applyNumberFormat="1" applyFont="1" applyBorder="1" applyAlignment="1">
      <alignment horizontal="center"/>
    </xf>
    <xf numFmtId="0" fontId="2" fillId="0" borderId="23" xfId="0" applyFont="1" applyBorder="1"/>
    <xf numFmtId="168" fontId="0" fillId="0" borderId="0" xfId="0" applyNumberFormat="1"/>
    <xf numFmtId="168" fontId="0" fillId="0" borderId="0" xfId="6" applyNumberFormat="1" applyFont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 wrapText="1"/>
    </xf>
    <xf numFmtId="166" fontId="13" fillId="2" borderId="1" xfId="0" applyNumberFormat="1" applyFont="1" applyFill="1" applyBorder="1"/>
    <xf numFmtId="166" fontId="8" fillId="0" borderId="0" xfId="2" applyNumberFormat="1" applyFont="1"/>
    <xf numFmtId="167" fontId="8" fillId="0" borderId="0" xfId="0" applyNumberFormat="1" applyFont="1"/>
    <xf numFmtId="10" fontId="8" fillId="0" borderId="0" xfId="1" applyNumberFormat="1" applyFont="1"/>
    <xf numFmtId="166" fontId="12" fillId="0" borderId="0" xfId="0" applyNumberFormat="1" applyFont="1"/>
    <xf numFmtId="14" fontId="8" fillId="0" borderId="24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8" fontId="8" fillId="0" borderId="24" xfId="6" applyNumberFormat="1" applyFont="1" applyBorder="1"/>
    <xf numFmtId="10" fontId="8" fillId="0" borderId="24" xfId="1" applyNumberFormat="1" applyFont="1" applyBorder="1" applyAlignment="1">
      <alignment horizontal="center"/>
    </xf>
    <xf numFmtId="168" fontId="8" fillId="0" borderId="24" xfId="6" applyNumberFormat="1" applyFont="1" applyFill="1" applyBorder="1"/>
    <xf numFmtId="0" fontId="8" fillId="0" borderId="24" xfId="0" applyFont="1" applyBorder="1" applyAlignment="1">
      <alignment horizontal="center"/>
    </xf>
    <xf numFmtId="10" fontId="8" fillId="0" borderId="24" xfId="7" applyNumberFormat="1" applyFont="1" applyBorder="1" applyAlignment="1">
      <alignment horizontal="center"/>
    </xf>
    <xf numFmtId="0" fontId="12" fillId="3" borderId="24" xfId="0" applyFont="1" applyFill="1" applyBorder="1" applyAlignment="1">
      <alignment horizontal="center" vertical="center"/>
    </xf>
    <xf numFmtId="168" fontId="0" fillId="0" borderId="24" xfId="6" applyNumberFormat="1" applyFont="1" applyBorder="1"/>
    <xf numFmtId="0" fontId="8" fillId="4" borderId="24" xfId="0" applyFont="1" applyFill="1" applyBorder="1" applyAlignment="1">
      <alignment horizontal="center" vertical="center"/>
    </xf>
    <xf numFmtId="168" fontId="8" fillId="4" borderId="24" xfId="6" applyNumberFormat="1" applyFont="1" applyFill="1" applyBorder="1"/>
    <xf numFmtId="14" fontId="8" fillId="0" borderId="24" xfId="0" applyNumberFormat="1" applyFont="1" applyBorder="1" applyAlignment="1">
      <alignment horizontal="center"/>
    </xf>
    <xf numFmtId="10" fontId="0" fillId="0" borderId="0" xfId="0" applyNumberFormat="1"/>
    <xf numFmtId="168" fontId="2" fillId="0" borderId="24" xfId="0" applyNumberFormat="1" applyFont="1" applyBorder="1"/>
    <xf numFmtId="0" fontId="2" fillId="0" borderId="24" xfId="0" applyFont="1" applyBorder="1" applyAlignment="1">
      <alignment horizontal="center"/>
    </xf>
    <xf numFmtId="0" fontId="0" fillId="0" borderId="24" xfId="0" applyBorder="1"/>
    <xf numFmtId="168" fontId="0" fillId="0" borderId="24" xfId="0" applyNumberFormat="1" applyBorder="1"/>
    <xf numFmtId="0" fontId="0" fillId="0" borderId="24" xfId="0" applyBorder="1" applyAlignment="1">
      <alignment horizontal="center"/>
    </xf>
    <xf numFmtId="0" fontId="15" fillId="6" borderId="24" xfId="8" applyFont="1" applyFill="1" applyBorder="1" applyAlignment="1">
      <alignment horizontal="center" vertical="center" wrapText="1"/>
    </xf>
    <xf numFmtId="0" fontId="16" fillId="4" borderId="24" xfId="0" applyFont="1" applyFill="1" applyBorder="1" applyAlignment="1" applyProtection="1">
      <alignment horizontal="center"/>
      <protection locked="0"/>
    </xf>
    <xf numFmtId="0" fontId="16" fillId="4" borderId="25" xfId="0" applyFont="1" applyFill="1" applyBorder="1" applyAlignment="1">
      <alignment horizontal="right"/>
    </xf>
    <xf numFmtId="169" fontId="16" fillId="4" borderId="26" xfId="5" applyNumberFormat="1" applyFont="1" applyFill="1" applyBorder="1" applyProtection="1"/>
    <xf numFmtId="1" fontId="15" fillId="6" borderId="24" xfId="8" applyNumberFormat="1" applyFont="1" applyFill="1" applyBorder="1" applyAlignment="1">
      <alignment horizontal="center" vertical="center" wrapText="1"/>
    </xf>
    <xf numFmtId="0" fontId="15" fillId="6" borderId="24" xfId="8" applyFont="1" applyFill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0" fontId="16" fillId="0" borderId="24" xfId="0" applyFont="1" applyBorder="1" applyAlignment="1">
      <alignment horizontal="right"/>
    </xf>
    <xf numFmtId="0" fontId="17" fillId="0" borderId="24" xfId="0" applyFont="1" applyBorder="1" applyProtection="1">
      <protection locked="0"/>
    </xf>
    <xf numFmtId="169" fontId="16" fillId="0" borderId="24" xfId="5" applyNumberFormat="1" applyFont="1" applyFill="1" applyBorder="1" applyProtection="1"/>
    <xf numFmtId="0" fontId="16" fillId="0" borderId="0" xfId="0" applyFont="1" applyAlignment="1">
      <alignment horizontal="right"/>
    </xf>
    <xf numFmtId="0" fontId="17" fillId="0" borderId="0" xfId="0" applyFont="1" applyProtection="1">
      <protection locked="0"/>
    </xf>
    <xf numFmtId="169" fontId="16" fillId="0" borderId="0" xfId="5" applyNumberFormat="1" applyFont="1" applyFill="1" applyBorder="1" applyProtection="1"/>
    <xf numFmtId="168" fontId="0" fillId="0" borderId="0" xfId="6" applyNumberFormat="1" applyFont="1" applyBorder="1"/>
    <xf numFmtId="0" fontId="18" fillId="4" borderId="24" xfId="0" applyFont="1" applyFill="1" applyBorder="1" applyAlignment="1" applyProtection="1">
      <alignment horizontal="center"/>
      <protection locked="0"/>
    </xf>
    <xf numFmtId="0" fontId="18" fillId="0" borderId="24" xfId="0" applyFont="1" applyBorder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6" fillId="4" borderId="0" xfId="0" applyFont="1" applyFill="1"/>
    <xf numFmtId="0" fontId="16" fillId="4" borderId="0" xfId="0" applyFont="1" applyFill="1" applyAlignment="1">
      <alignment horizontal="right"/>
    </xf>
    <xf numFmtId="0" fontId="17" fillId="4" borderId="0" xfId="0" applyFont="1" applyFill="1" applyProtection="1">
      <protection locked="0"/>
    </xf>
    <xf numFmtId="169" fontId="16" fillId="4" borderId="0" xfId="5" applyNumberFormat="1" applyFont="1" applyFill="1" applyBorder="1" applyProtection="1"/>
    <xf numFmtId="0" fontId="18" fillId="4" borderId="24" xfId="0" applyFont="1" applyFill="1" applyBorder="1"/>
    <xf numFmtId="0" fontId="18" fillId="4" borderId="24" xfId="0" applyFont="1" applyFill="1" applyBorder="1" applyAlignment="1">
      <alignment horizontal="right"/>
    </xf>
    <xf numFmtId="0" fontId="19" fillId="4" borderId="24" xfId="0" applyFont="1" applyFill="1" applyBorder="1" applyProtection="1">
      <protection locked="0"/>
    </xf>
    <xf numFmtId="169" fontId="18" fillId="4" borderId="24" xfId="5" applyNumberFormat="1" applyFont="1" applyFill="1" applyBorder="1" applyProtection="1"/>
    <xf numFmtId="168" fontId="2" fillId="0" borderId="24" xfId="6" applyNumberFormat="1" applyFont="1" applyBorder="1"/>
    <xf numFmtId="0" fontId="18" fillId="0" borderId="24" xfId="0" applyFont="1" applyBorder="1"/>
    <xf numFmtId="0" fontId="18" fillId="0" borderId="24" xfId="0" applyFont="1" applyBorder="1" applyAlignment="1">
      <alignment horizontal="right"/>
    </xf>
    <xf numFmtId="0" fontId="19" fillId="0" borderId="24" xfId="0" applyFont="1" applyBorder="1" applyProtection="1">
      <protection locked="0"/>
    </xf>
    <xf numFmtId="169" fontId="18" fillId="0" borderId="24" xfId="5" applyNumberFormat="1" applyFont="1" applyFill="1" applyBorder="1" applyProtection="1"/>
    <xf numFmtId="0" fontId="17" fillId="4" borderId="25" xfId="0" applyFont="1" applyFill="1" applyBorder="1" applyAlignment="1" applyProtection="1">
      <alignment wrapText="1"/>
      <protection locked="0"/>
    </xf>
    <xf numFmtId="168" fontId="2" fillId="0" borderId="0" xfId="6" applyNumberFormat="1" applyFont="1" applyBorder="1"/>
    <xf numFmtId="49" fontId="16" fillId="4" borderId="24" xfId="0" applyNumberFormat="1" applyFont="1" applyFill="1" applyBorder="1" applyAlignment="1">
      <alignment horizontal="right"/>
    </xf>
    <xf numFmtId="0" fontId="17" fillId="4" borderId="24" xfId="0" applyFont="1" applyFill="1" applyBorder="1" applyAlignment="1" applyProtection="1">
      <alignment wrapText="1"/>
      <protection locked="0"/>
    </xf>
    <xf numFmtId="169" fontId="16" fillId="4" borderId="24" xfId="5" applyNumberFormat="1" applyFont="1" applyFill="1" applyBorder="1" applyProtection="1"/>
    <xf numFmtId="0" fontId="16" fillId="4" borderId="24" xfId="0" applyFont="1" applyFill="1" applyBorder="1" applyAlignment="1">
      <alignment horizontal="right"/>
    </xf>
    <xf numFmtId="168" fontId="0" fillId="4" borderId="24" xfId="6" applyNumberFormat="1" applyFont="1" applyFill="1" applyBorder="1"/>
    <xf numFmtId="0" fontId="16" fillId="0" borderId="25" xfId="0" applyFont="1" applyBorder="1" applyAlignment="1">
      <alignment horizontal="center"/>
    </xf>
    <xf numFmtId="168" fontId="0" fillId="0" borderId="24" xfId="0" applyNumberFormat="1" applyBorder="1" applyAlignment="1">
      <alignment horizontal="center"/>
    </xf>
    <xf numFmtId="0" fontId="15" fillId="7" borderId="24" xfId="8" applyFont="1" applyFill="1" applyBorder="1" applyAlignment="1">
      <alignment horizontal="center" vertical="center" wrapText="1"/>
    </xf>
    <xf numFmtId="168" fontId="2" fillId="0" borderId="0" xfId="0" applyNumberFormat="1" applyFont="1"/>
    <xf numFmtId="168" fontId="0" fillId="5" borderId="24" xfId="6" applyNumberFormat="1" applyFont="1" applyFill="1" applyBorder="1"/>
    <xf numFmtId="168" fontId="2" fillId="5" borderId="24" xfId="6" applyNumberFormat="1" applyFont="1" applyFill="1" applyBorder="1"/>
    <xf numFmtId="0" fontId="15" fillId="8" borderId="24" xfId="8" applyFont="1" applyFill="1" applyBorder="1" applyAlignment="1">
      <alignment horizontal="center" vertical="center" wrapText="1"/>
    </xf>
    <xf numFmtId="168" fontId="0" fillId="3" borderId="24" xfId="6" applyNumberFormat="1" applyFont="1" applyFill="1" applyBorder="1"/>
    <xf numFmtId="168" fontId="0" fillId="0" borderId="24" xfId="6" applyNumberFormat="1" applyFont="1" applyBorder="1" applyAlignment="1">
      <alignment horizontal="right"/>
    </xf>
    <xf numFmtId="168" fontId="2" fillId="0" borderId="0" xfId="6" applyNumberFormat="1" applyFont="1" applyFill="1" applyBorder="1"/>
    <xf numFmtId="0" fontId="24" fillId="0" borderId="2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6" fontId="27" fillId="0" borderId="24" xfId="0" applyNumberFormat="1" applyFont="1" applyBorder="1" applyAlignment="1">
      <alignment horizontal="center" vertical="center"/>
    </xf>
    <xf numFmtId="170" fontId="0" fillId="0" borderId="0" xfId="0" applyNumberFormat="1"/>
    <xf numFmtId="0" fontId="16" fillId="3" borderId="24" xfId="0" applyFont="1" applyFill="1" applyBorder="1"/>
    <xf numFmtId="0" fontId="28" fillId="0" borderId="0" xfId="0" applyFont="1"/>
    <xf numFmtId="0" fontId="28" fillId="0" borderId="24" xfId="0" applyFont="1" applyBorder="1"/>
    <xf numFmtId="168" fontId="0" fillId="4" borderId="0" xfId="6" applyNumberFormat="1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 applyProtection="1">
      <protection locked="0"/>
    </xf>
    <xf numFmtId="169" fontId="18" fillId="0" borderId="0" xfId="5" applyNumberFormat="1" applyFont="1" applyFill="1" applyBorder="1" applyProtection="1"/>
    <xf numFmtId="0" fontId="0" fillId="0" borderId="0" xfId="0" applyAlignment="1">
      <alignment horizontal="center"/>
    </xf>
    <xf numFmtId="0" fontId="26" fillId="0" borderId="0" xfId="0" applyFont="1"/>
    <xf numFmtId="0" fontId="26" fillId="0" borderId="24" xfId="0" applyFont="1" applyBorder="1"/>
    <xf numFmtId="168" fontId="2" fillId="4" borderId="24" xfId="6" applyNumberFormat="1" applyFont="1" applyFill="1" applyBorder="1"/>
    <xf numFmtId="6" fontId="26" fillId="0" borderId="24" xfId="0" applyNumberFormat="1" applyFont="1" applyBorder="1" applyAlignment="1">
      <alignment horizontal="center" vertical="center"/>
    </xf>
    <xf numFmtId="171" fontId="2" fillId="0" borderId="24" xfId="6" applyNumberFormat="1" applyFont="1" applyBorder="1"/>
    <xf numFmtId="171" fontId="2" fillId="9" borderId="24" xfId="6" applyNumberFormat="1" applyFont="1" applyFill="1" applyBorder="1"/>
    <xf numFmtId="44" fontId="0" fillId="0" borderId="0" xfId="6" applyFont="1"/>
    <xf numFmtId="168" fontId="0" fillId="10" borderId="0" xfId="0" applyNumberFormat="1" applyFill="1"/>
    <xf numFmtId="0" fontId="24" fillId="0" borderId="28" xfId="0" applyFont="1" applyBorder="1" applyAlignment="1">
      <alignment horizontal="center" vertical="center" wrapText="1"/>
    </xf>
    <xf numFmtId="44" fontId="0" fillId="0" borderId="0" xfId="0" applyNumberFormat="1"/>
    <xf numFmtId="44" fontId="0" fillId="4" borderId="24" xfId="0" applyNumberFormat="1" applyFill="1" applyBorder="1"/>
    <xf numFmtId="44" fontId="0" fillId="0" borderId="24" xfId="0" applyNumberFormat="1" applyBorder="1"/>
    <xf numFmtId="44" fontId="0" fillId="0" borderId="24" xfId="6" applyFont="1" applyBorder="1"/>
    <xf numFmtId="0" fontId="0" fillId="9" borderId="24" xfId="0" applyFill="1" applyBorder="1"/>
    <xf numFmtId="0" fontId="22" fillId="11" borderId="24" xfId="0" applyFont="1" applyFill="1" applyBorder="1" applyAlignment="1">
      <alignment horizontal="center" vertical="center"/>
    </xf>
    <xf numFmtId="172" fontId="0" fillId="0" borderId="24" xfId="5" applyNumberFormat="1" applyFont="1" applyBorder="1"/>
    <xf numFmtId="0" fontId="22" fillId="12" borderId="24" xfId="0" applyFont="1" applyFill="1" applyBorder="1" applyAlignment="1">
      <alignment horizontal="center" vertical="center"/>
    </xf>
    <xf numFmtId="172" fontId="0" fillId="10" borderId="24" xfId="5" applyNumberFormat="1" applyFont="1" applyFill="1" applyBorder="1"/>
    <xf numFmtId="168" fontId="0" fillId="0" borderId="24" xfId="5" applyNumberFormat="1" applyFont="1" applyBorder="1"/>
    <xf numFmtId="168" fontId="0" fillId="10" borderId="24" xfId="5" applyNumberFormat="1" applyFont="1" applyFill="1" applyBorder="1"/>
    <xf numFmtId="168" fontId="8" fillId="0" borderId="0" xfId="0" applyNumberFormat="1" applyFont="1"/>
    <xf numFmtId="0" fontId="29" fillId="0" borderId="24" xfId="0" applyFont="1" applyBorder="1" applyAlignment="1">
      <alignment horizontal="center" vertical="center" wrapText="1"/>
    </xf>
    <xf numFmtId="168" fontId="29" fillId="0" borderId="24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vertical="center"/>
    </xf>
    <xf numFmtId="0" fontId="30" fillId="0" borderId="24" xfId="0" applyFont="1" applyBorder="1" applyAlignment="1">
      <alignment horizontal="center" vertical="center"/>
    </xf>
    <xf numFmtId="6" fontId="30" fillId="0" borderId="24" xfId="0" applyNumberFormat="1" applyFont="1" applyBorder="1" applyAlignment="1">
      <alignment horizontal="center" vertical="center"/>
    </xf>
    <xf numFmtId="168" fontId="30" fillId="0" borderId="24" xfId="0" applyNumberFormat="1" applyFont="1" applyBorder="1" applyAlignment="1">
      <alignment horizontal="center" vertical="center"/>
    </xf>
    <xf numFmtId="0" fontId="29" fillId="0" borderId="24" xfId="0" applyFont="1" applyBorder="1" applyAlignment="1">
      <alignment vertical="center"/>
    </xf>
    <xf numFmtId="168" fontId="31" fillId="0" borderId="24" xfId="0" applyNumberFormat="1" applyFont="1" applyBorder="1" applyAlignment="1">
      <alignment horizontal="center" vertical="center"/>
    </xf>
    <xf numFmtId="0" fontId="8" fillId="0" borderId="24" xfId="0" applyFont="1" applyBorder="1"/>
    <xf numFmtId="0" fontId="32" fillId="4" borderId="24" xfId="0" applyFont="1" applyFill="1" applyBorder="1" applyAlignment="1" applyProtection="1">
      <alignment wrapText="1"/>
      <protection locked="0"/>
    </xf>
    <xf numFmtId="0" fontId="32" fillId="4" borderId="25" xfId="0" applyFont="1" applyFill="1" applyBorder="1" applyAlignment="1">
      <alignment horizontal="right"/>
    </xf>
    <xf numFmtId="168" fontId="8" fillId="0" borderId="24" xfId="0" applyNumberFormat="1" applyFont="1" applyBorder="1"/>
    <xf numFmtId="0" fontId="12" fillId="0" borderId="24" xfId="0" applyFont="1" applyBorder="1" applyAlignment="1">
      <alignment horizontal="center"/>
    </xf>
    <xf numFmtId="0" fontId="30" fillId="0" borderId="24" xfId="0" applyFont="1" applyBorder="1"/>
    <xf numFmtId="0" fontId="32" fillId="4" borderId="25" xfId="0" applyFont="1" applyFill="1" applyBorder="1" applyAlignment="1" applyProtection="1">
      <alignment wrapText="1"/>
      <protection locked="0"/>
    </xf>
    <xf numFmtId="49" fontId="32" fillId="4" borderId="24" xfId="0" applyNumberFormat="1" applyFont="1" applyFill="1" applyBorder="1" applyAlignment="1">
      <alignment horizontal="right"/>
    </xf>
    <xf numFmtId="43" fontId="0" fillId="0" borderId="24" xfId="5" applyFont="1" applyBorder="1"/>
    <xf numFmtId="0" fontId="33" fillId="10" borderId="1" xfId="0" applyFont="1" applyFill="1" applyBorder="1" applyAlignment="1">
      <alignment horizontal="center" vertical="center"/>
    </xf>
    <xf numFmtId="0" fontId="33" fillId="10" borderId="23" xfId="0" applyFont="1" applyFill="1" applyBorder="1" applyAlignment="1">
      <alignment horizontal="center" vertical="center"/>
    </xf>
    <xf numFmtId="0" fontId="26" fillId="13" borderId="6" xfId="0" applyFont="1" applyFill="1" applyBorder="1" applyAlignment="1">
      <alignment horizontal="right" vertical="center"/>
    </xf>
    <xf numFmtId="0" fontId="22" fillId="11" borderId="29" xfId="0" applyFont="1" applyFill="1" applyBorder="1" applyAlignment="1">
      <alignment horizontal="center" vertical="center"/>
    </xf>
    <xf numFmtId="0" fontId="26" fillId="13" borderId="29" xfId="0" applyFont="1" applyFill="1" applyBorder="1" applyAlignment="1">
      <alignment horizontal="right" vertical="center"/>
    </xf>
    <xf numFmtId="0" fontId="26" fillId="0" borderId="6" xfId="0" applyFont="1" applyBorder="1" applyAlignment="1">
      <alignment horizontal="right" vertical="center"/>
    </xf>
    <xf numFmtId="0" fontId="26" fillId="0" borderId="29" xfId="0" applyFont="1" applyBorder="1" applyAlignment="1">
      <alignment horizontal="right" vertical="center"/>
    </xf>
    <xf numFmtId="0" fontId="26" fillId="0" borderId="6" xfId="0" applyFont="1" applyBorder="1" applyAlignment="1">
      <alignment vertical="center"/>
    </xf>
    <xf numFmtId="0" fontId="26" fillId="0" borderId="29" xfId="0" applyFont="1" applyBorder="1" applyAlignment="1">
      <alignment vertical="center"/>
    </xf>
    <xf numFmtId="168" fontId="0" fillId="4" borderId="24" xfId="0" applyNumberFormat="1" applyFill="1" applyBorder="1"/>
    <xf numFmtId="0" fontId="12" fillId="4" borderId="0" xfId="0" applyFont="1" applyFill="1"/>
    <xf numFmtId="0" fontId="8" fillId="4" borderId="0" xfId="0" applyFont="1" applyFill="1"/>
    <xf numFmtId="168" fontId="8" fillId="4" borderId="0" xfId="0" applyNumberFormat="1" applyFont="1" applyFill="1"/>
    <xf numFmtId="0" fontId="0" fillId="4" borderId="0" xfId="0" applyFill="1"/>
    <xf numFmtId="0" fontId="22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11" borderId="6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10" borderId="29" xfId="0" applyFont="1" applyFill="1" applyBorder="1" applyAlignment="1">
      <alignment vertical="center"/>
    </xf>
    <xf numFmtId="0" fontId="35" fillId="14" borderId="23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19" fillId="4" borderId="24" xfId="0" applyFont="1" applyFill="1" applyBorder="1" applyAlignment="1" applyProtection="1">
      <alignment horizontal="center" wrapText="1"/>
      <protection locked="0"/>
    </xf>
    <xf numFmtId="0" fontId="2" fillId="0" borderId="24" xfId="0" applyFont="1" applyBorder="1"/>
    <xf numFmtId="49" fontId="16" fillId="4" borderId="24" xfId="0" applyNumberFormat="1" applyFont="1" applyFill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6" fontId="0" fillId="0" borderId="24" xfId="0" applyNumberFormat="1" applyBorder="1"/>
    <xf numFmtId="0" fontId="26" fillId="0" borderId="24" xfId="0" applyFont="1" applyBorder="1" applyAlignment="1">
      <alignment vertical="center"/>
    </xf>
    <xf numFmtId="0" fontId="26" fillId="5" borderId="24" xfId="0" applyFont="1" applyFill="1" applyBorder="1" applyAlignment="1">
      <alignment horizontal="right" vertical="center"/>
    </xf>
    <xf numFmtId="0" fontId="26" fillId="15" borderId="24" xfId="0" applyFont="1" applyFill="1" applyBorder="1" applyAlignment="1">
      <alignment horizontal="right" vertical="center"/>
    </xf>
    <xf numFmtId="0" fontId="0" fillId="15" borderId="24" xfId="0" applyFill="1" applyBorder="1"/>
    <xf numFmtId="172" fontId="0" fillId="0" borderId="0" xfId="0" applyNumberFormat="1"/>
    <xf numFmtId="14" fontId="12" fillId="0" borderId="24" xfId="0" applyNumberFormat="1" applyFont="1" applyBorder="1" applyAlignment="1">
      <alignment horizontal="center"/>
    </xf>
    <xf numFmtId="168" fontId="12" fillId="0" borderId="24" xfId="6" applyNumberFormat="1" applyFont="1" applyBorder="1"/>
    <xf numFmtId="0" fontId="12" fillId="4" borderId="24" xfId="0" applyFont="1" applyFill="1" applyBorder="1" applyAlignment="1">
      <alignment horizontal="center" vertical="center"/>
    </xf>
    <xf numFmtId="168" fontId="12" fillId="4" borderId="24" xfId="6" applyNumberFormat="1" applyFont="1" applyFill="1" applyBorder="1"/>
    <xf numFmtId="10" fontId="12" fillId="0" borderId="24" xfId="7" applyNumberFormat="1" applyFont="1" applyBorder="1" applyAlignment="1">
      <alignment horizontal="center"/>
    </xf>
    <xf numFmtId="6" fontId="0" fillId="0" borderId="0" xfId="0" applyNumberFormat="1"/>
    <xf numFmtId="168" fontId="30" fillId="0" borderId="0" xfId="0" applyNumberFormat="1" applyFont="1" applyAlignment="1">
      <alignment horizontal="center" vertical="center"/>
    </xf>
    <xf numFmtId="6" fontId="2" fillId="0" borderId="24" xfId="0" applyNumberFormat="1" applyFont="1" applyBorder="1" applyAlignment="1">
      <alignment horizontal="center"/>
    </xf>
    <xf numFmtId="6" fontId="2" fillId="0" borderId="24" xfId="0" applyNumberFormat="1" applyFont="1" applyBorder="1"/>
    <xf numFmtId="168" fontId="1" fillId="0" borderId="24" xfId="6" applyNumberFormat="1" applyFont="1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9" fillId="4" borderId="30" xfId="0" applyFont="1" applyFill="1" applyBorder="1" applyAlignment="1" applyProtection="1">
      <alignment horizontal="center" wrapText="1"/>
      <protection locked="0"/>
    </xf>
    <xf numFmtId="0" fontId="19" fillId="4" borderId="25" xfId="0" applyFont="1" applyFill="1" applyBorder="1" applyAlignment="1" applyProtection="1">
      <alignment horizontal="center" wrapText="1"/>
      <protection locked="0"/>
    </xf>
    <xf numFmtId="167" fontId="0" fillId="10" borderId="24" xfId="5" applyNumberFormat="1" applyFont="1" applyFill="1" applyBorder="1"/>
    <xf numFmtId="171" fontId="0" fillId="9" borderId="24" xfId="6" applyNumberFormat="1" applyFont="1" applyFill="1" applyBorder="1"/>
    <xf numFmtId="171" fontId="0" fillId="0" borderId="24" xfId="6" applyNumberFormat="1" applyFont="1" applyBorder="1"/>
    <xf numFmtId="171" fontId="0" fillId="0" borderId="0" xfId="0" applyNumberFormat="1"/>
    <xf numFmtId="171" fontId="0" fillId="0" borderId="24" xfId="0" applyNumberFormat="1" applyBorder="1"/>
    <xf numFmtId="171" fontId="2" fillId="0" borderId="24" xfId="0" applyNumberFormat="1" applyFont="1" applyBorder="1"/>
    <xf numFmtId="171" fontId="2" fillId="0" borderId="24" xfId="6" applyNumberFormat="1" applyFont="1" applyFill="1" applyBorder="1"/>
    <xf numFmtId="168" fontId="8" fillId="0" borderId="0" xfId="6" applyNumberFormat="1" applyFont="1" applyBorder="1"/>
    <xf numFmtId="168" fontId="12" fillId="0" borderId="0" xfId="6" applyNumberFormat="1" applyFont="1" applyBorder="1"/>
    <xf numFmtId="173" fontId="0" fillId="0" borderId="24" xfId="0" applyNumberFormat="1" applyBorder="1"/>
    <xf numFmtId="168" fontId="2" fillId="0" borderId="0" xfId="6" applyNumberFormat="1" applyFont="1"/>
    <xf numFmtId="166" fontId="8" fillId="0" borderId="0" xfId="1" applyNumberFormat="1" applyFont="1"/>
    <xf numFmtId="166" fontId="1" fillId="0" borderId="0" xfId="1" applyNumberFormat="1" applyFont="1"/>
    <xf numFmtId="168" fontId="8" fillId="17" borderId="0" xfId="6" applyNumberFormat="1" applyFont="1" applyFill="1" applyBorder="1"/>
    <xf numFmtId="14" fontId="0" fillId="17" borderId="0" xfId="0" applyNumberFormat="1" applyFill="1"/>
    <xf numFmtId="168" fontId="8" fillId="0" borderId="0" xfId="6" applyNumberFormat="1" applyFont="1"/>
    <xf numFmtId="44" fontId="8" fillId="0" borderId="24" xfId="6" applyFont="1" applyBorder="1"/>
    <xf numFmtId="166" fontId="8" fillId="0" borderId="0" xfId="0" applyNumberFormat="1" applyFont="1"/>
    <xf numFmtId="0" fontId="11" fillId="16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3" borderId="2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30" fillId="0" borderId="24" xfId="0" applyFont="1" applyBorder="1" applyAlignment="1">
      <alignment vertical="center"/>
    </xf>
    <xf numFmtId="0" fontId="29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/>
    </xf>
    <xf numFmtId="0" fontId="25" fillId="0" borderId="24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19" fillId="4" borderId="24" xfId="0" applyFont="1" applyFill="1" applyBorder="1" applyAlignment="1" applyProtection="1">
      <alignment horizontal="center" wrapText="1"/>
      <protection locked="0"/>
    </xf>
    <xf numFmtId="0" fontId="30" fillId="0" borderId="30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</cellXfs>
  <cellStyles count="21">
    <cellStyle name="Millares" xfId="5" builtinId="3"/>
    <cellStyle name="Millares 2" xfId="4" xr:uid="{F67FF985-DC7D-40FD-A47F-168491391BB1}"/>
    <cellStyle name="Millares 2 2" xfId="16" xr:uid="{7EB7294D-561F-413A-A227-4A8112F5AEFC}"/>
    <cellStyle name="Millares 3" xfId="14" xr:uid="{CA6DF8D9-2175-4D26-A331-379391301A67}"/>
    <cellStyle name="Millares 3 2" xfId="20" xr:uid="{2F62BDEF-8E6D-47BC-AC7A-313633E0366D}"/>
    <cellStyle name="Millares 4" xfId="17" xr:uid="{0E831B40-B296-4231-BED3-5050C58C9959}"/>
    <cellStyle name="Moneda" xfId="6" builtinId="4"/>
    <cellStyle name="Moneda [0] 2" xfId="13" xr:uid="{55774475-7BEC-4778-969B-4AD98C935A6E}"/>
    <cellStyle name="Moneda 2" xfId="2" xr:uid="{6B794F16-C7BC-4FE9-8032-9A6203AE31FD}"/>
    <cellStyle name="Moneda 3" xfId="3" xr:uid="{BC13E5EB-E5F3-47E9-A7DD-7FA05EC637C5}"/>
    <cellStyle name="Moneda 4" xfId="9" xr:uid="{733674AC-3F0A-4D73-8646-9F87D2005E80}"/>
    <cellStyle name="Moneda 4 2" xfId="19" xr:uid="{E6230A32-023C-497A-8D8F-429DF3DB4BBD}"/>
    <cellStyle name="Moneda 5" xfId="18" xr:uid="{1861A0C4-ED3D-453D-BE7C-02837B319742}"/>
    <cellStyle name="Normal" xfId="0" builtinId="0"/>
    <cellStyle name="Normal 2" xfId="12" xr:uid="{5CB2BFA1-829E-47AB-BDC3-78A47500D83F}"/>
    <cellStyle name="Normal 3" xfId="15" xr:uid="{CF6CB2C2-4042-4D25-A94B-B35A3182DD52}"/>
    <cellStyle name="Normal 5" xfId="10" xr:uid="{4BACC7E0-0E57-44F0-BA97-03FEA2E27315}"/>
    <cellStyle name="Normal_Plantilla" xfId="8" xr:uid="{42A7C9D2-E6D1-4276-B12B-A6CDD1101631}"/>
    <cellStyle name="Porcentaje" xfId="7" builtinId="5"/>
    <cellStyle name="Porcentaje 2" xfId="1" xr:uid="{82413545-3C02-4F2A-910B-2AF4CFC82852}"/>
    <cellStyle name="Porcentaje 2 2" xfId="11" xr:uid="{CC7D6829-B5D0-4168-9700-03C01F089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ana Maria Muñoz Rodriguez" id="{5B926E21-9ED2-4D14-BE02-D0E39016A2CF}" userId="S::DianaMR@idea.gov.co::7b67c486-c3a5-4248-b222-97d1da7371b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2" dT="2024-02-22T21:27:57.51" personId="{5B926E21-9ED2-4D14-BE02-D0E39016A2CF}" id="{5F034B89-BE40-404A-84CF-6C0DC8BCBD8D}">
    <text>IVA DEL 5%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40B-1E40-4F54-82A3-F066B21B0D19}">
  <dimension ref="A1:N37"/>
  <sheetViews>
    <sheetView workbookViewId="0">
      <selection sqref="A1:I3"/>
    </sheetView>
  </sheetViews>
  <sheetFormatPr baseColWidth="10" defaultColWidth="11.42578125" defaultRowHeight="15" x14ac:dyDescent="0.25"/>
  <cols>
    <col min="7" max="7" width="15.85546875" customWidth="1"/>
    <col min="8" max="8" width="15.140625" customWidth="1"/>
    <col min="14" max="14" width="17.5703125" customWidth="1"/>
  </cols>
  <sheetData>
    <row r="1" spans="1:14" x14ac:dyDescent="0.25">
      <c r="A1" s="1" t="s">
        <v>0</v>
      </c>
      <c r="B1" s="2"/>
      <c r="C1" s="3" t="s">
        <v>1</v>
      </c>
    </row>
    <row r="2" spans="1:14" x14ac:dyDescent="0.25">
      <c r="A2" s="251" t="s">
        <v>2</v>
      </c>
      <c r="B2" s="251"/>
      <c r="C2" s="4" t="s">
        <v>3</v>
      </c>
    </row>
    <row r="3" spans="1:14" x14ac:dyDescent="0.25">
      <c r="A3" s="1" t="s">
        <v>4</v>
      </c>
      <c r="B3" s="5"/>
      <c r="C3" s="3" t="s">
        <v>5</v>
      </c>
    </row>
    <row r="4" spans="1:14" ht="15.75" thickBot="1" x14ac:dyDescent="0.3">
      <c r="A4" s="1"/>
      <c r="B4" s="5"/>
      <c r="C4" s="3"/>
      <c r="K4" s="2" t="s">
        <v>6</v>
      </c>
      <c r="L4" s="2" t="s">
        <v>7</v>
      </c>
      <c r="M4" s="2" t="s">
        <v>8</v>
      </c>
      <c r="N4" s="2" t="s">
        <v>9</v>
      </c>
    </row>
    <row r="5" spans="1:14" ht="15.75" thickBot="1" x14ac:dyDescent="0.3">
      <c r="A5" s="2" t="s">
        <v>10</v>
      </c>
      <c r="B5" s="2"/>
      <c r="G5" s="6">
        <v>65142198</v>
      </c>
      <c r="H5" s="7">
        <f>+D37</f>
        <v>2164264</v>
      </c>
      <c r="I5" s="8">
        <f>+H5/G5</f>
        <v>3.3223687048447456E-2</v>
      </c>
      <c r="J5" s="8"/>
      <c r="K5" t="s">
        <v>11</v>
      </c>
      <c r="L5">
        <v>202000134</v>
      </c>
      <c r="N5" s="9">
        <v>65142198</v>
      </c>
    </row>
    <row r="6" spans="1:14" x14ac:dyDescent="0.25">
      <c r="A6" s="2" t="s">
        <v>12</v>
      </c>
      <c r="B6" s="2"/>
      <c r="C6" s="10">
        <v>44040</v>
      </c>
      <c r="E6" s="11"/>
      <c r="F6" t="s">
        <v>13</v>
      </c>
      <c r="G6" s="12">
        <f>(G5/8*1.06)*3*0</f>
        <v>0</v>
      </c>
      <c r="H6" s="13">
        <v>0</v>
      </c>
      <c r="I6" s="8">
        <f>+G6/G5</f>
        <v>0</v>
      </c>
      <c r="J6" s="8"/>
      <c r="N6" s="9"/>
    </row>
    <row r="7" spans="1:14" x14ac:dyDescent="0.25">
      <c r="A7" s="2"/>
      <c r="B7" s="2"/>
      <c r="C7" s="10"/>
      <c r="E7" s="11"/>
      <c r="F7" t="s">
        <v>14</v>
      </c>
      <c r="G7" s="12">
        <v>0</v>
      </c>
      <c r="H7" s="13"/>
      <c r="I7" s="8"/>
      <c r="J7" s="8"/>
      <c r="K7" s="8"/>
      <c r="L7" s="14"/>
      <c r="N7" s="9"/>
    </row>
    <row r="8" spans="1:14" x14ac:dyDescent="0.25">
      <c r="A8" s="2"/>
      <c r="B8" s="2"/>
      <c r="C8" s="10"/>
      <c r="E8" s="11"/>
      <c r="F8" t="s">
        <v>15</v>
      </c>
      <c r="G8" s="12">
        <f>-D37</f>
        <v>-2164264</v>
      </c>
      <c r="H8" s="13"/>
      <c r="I8" s="8"/>
      <c r="J8" s="8"/>
      <c r="K8" s="8"/>
    </row>
    <row r="9" spans="1:14" x14ac:dyDescent="0.25">
      <c r="A9" s="2" t="s">
        <v>16</v>
      </c>
      <c r="B9" s="2"/>
      <c r="C9" s="10">
        <v>44171</v>
      </c>
      <c r="D9" s="10"/>
      <c r="G9" s="15">
        <f>+G5+G6+G8+G7</f>
        <v>62977934</v>
      </c>
    </row>
    <row r="10" spans="1:14" x14ac:dyDescent="0.25">
      <c r="A10" s="2" t="s">
        <v>17</v>
      </c>
      <c r="B10" s="2"/>
      <c r="C10" s="10"/>
      <c r="D10" s="10"/>
      <c r="G10" s="16"/>
      <c r="H10" s="16"/>
    </row>
    <row r="11" spans="1:14" ht="15.75" thickBot="1" x14ac:dyDescent="0.3"/>
    <row r="12" spans="1:14" x14ac:dyDescent="0.25">
      <c r="A12" s="252" t="s">
        <v>18</v>
      </c>
      <c r="B12" s="252" t="s">
        <v>19</v>
      </c>
      <c r="C12" s="252" t="s">
        <v>20</v>
      </c>
      <c r="D12" s="252" t="s">
        <v>21</v>
      </c>
      <c r="E12" s="249" t="s">
        <v>22</v>
      </c>
      <c r="F12" s="17" t="s">
        <v>23</v>
      </c>
      <c r="G12" s="245" t="s">
        <v>24</v>
      </c>
      <c r="H12" s="247" t="s">
        <v>25</v>
      </c>
      <c r="I12" s="249" t="s">
        <v>26</v>
      </c>
      <c r="J12" s="18"/>
      <c r="K12" s="18"/>
      <c r="L12" s="2"/>
      <c r="M12" s="2"/>
      <c r="N12" s="2"/>
    </row>
    <row r="13" spans="1:14" ht="15.75" thickBot="1" x14ac:dyDescent="0.3">
      <c r="A13" s="253"/>
      <c r="B13" s="253"/>
      <c r="C13" s="253"/>
      <c r="D13" s="253"/>
      <c r="E13" s="250"/>
      <c r="F13" s="19" t="s">
        <v>27</v>
      </c>
      <c r="G13" s="246"/>
      <c r="H13" s="248"/>
      <c r="I13" s="250"/>
      <c r="J13" s="18"/>
      <c r="K13" s="18"/>
      <c r="L13" s="2"/>
      <c r="M13" s="2"/>
      <c r="N13" s="2"/>
    </row>
    <row r="14" spans="1:14" x14ac:dyDescent="0.25">
      <c r="A14" s="20">
        <v>1</v>
      </c>
      <c r="B14" s="21">
        <v>44053</v>
      </c>
      <c r="C14" s="22" t="s">
        <v>28</v>
      </c>
      <c r="D14" s="23">
        <v>2164264</v>
      </c>
      <c r="E14" s="24">
        <v>1</v>
      </c>
      <c r="F14" s="25">
        <f>+G14/($H$5+$H$6)</f>
        <v>1</v>
      </c>
      <c r="G14" s="26">
        <f>+D14</f>
        <v>2164264</v>
      </c>
      <c r="H14" s="27">
        <f>+G5-G14</f>
        <v>62977934</v>
      </c>
      <c r="I14" s="28">
        <f>+D14</f>
        <v>2164264</v>
      </c>
      <c r="J14" s="13"/>
      <c r="K14" s="13"/>
    </row>
    <row r="15" spans="1:14" x14ac:dyDescent="0.25">
      <c r="A15" s="29">
        <v>2</v>
      </c>
      <c r="B15" s="21"/>
      <c r="C15" s="30"/>
      <c r="D15" s="31"/>
      <c r="E15" s="32">
        <v>2</v>
      </c>
      <c r="F15" s="25">
        <f t="shared" ref="F15:F33" si="0">+G15/($H$5+$H$6)</f>
        <v>1</v>
      </c>
      <c r="G15" s="33">
        <f>+G14+D15</f>
        <v>2164264</v>
      </c>
      <c r="H15" s="34">
        <f>+H14-D15</f>
        <v>62977934</v>
      </c>
      <c r="I15" s="35">
        <f>+I14+D15</f>
        <v>2164264</v>
      </c>
      <c r="J15" s="13"/>
      <c r="K15" s="13"/>
      <c r="L15" s="13"/>
    </row>
    <row r="16" spans="1:14" x14ac:dyDescent="0.25">
      <c r="A16" s="29">
        <v>3</v>
      </c>
      <c r="B16" s="21"/>
      <c r="C16" s="30"/>
      <c r="D16" s="31"/>
      <c r="E16" s="32">
        <v>3</v>
      </c>
      <c r="F16" s="25">
        <f t="shared" si="0"/>
        <v>1</v>
      </c>
      <c r="G16" s="33">
        <f>+G15+D16</f>
        <v>2164264</v>
      </c>
      <c r="H16" s="34">
        <f t="shared" ref="H16:H33" si="1">+H15-D16</f>
        <v>62977934</v>
      </c>
      <c r="I16" s="35">
        <f t="shared" ref="I16:I36" si="2">+I15+D16</f>
        <v>2164264</v>
      </c>
      <c r="J16" s="13"/>
      <c r="K16" s="13"/>
    </row>
    <row r="17" spans="1:13" x14ac:dyDescent="0.25">
      <c r="A17" s="29">
        <v>4</v>
      </c>
      <c r="B17" s="21"/>
      <c r="C17" s="30"/>
      <c r="D17" s="31">
        <v>0</v>
      </c>
      <c r="E17" s="32">
        <v>4</v>
      </c>
      <c r="F17" s="25">
        <f t="shared" si="0"/>
        <v>1</v>
      </c>
      <c r="G17" s="33">
        <f t="shared" ref="G17:G27" si="3">+G16+D17</f>
        <v>2164264</v>
      </c>
      <c r="H17" s="34">
        <f t="shared" si="1"/>
        <v>62977934</v>
      </c>
      <c r="I17" s="35">
        <f t="shared" si="2"/>
        <v>2164264</v>
      </c>
      <c r="J17" s="13"/>
      <c r="K17" s="13"/>
      <c r="L17" s="16"/>
    </row>
    <row r="18" spans="1:13" ht="16.5" x14ac:dyDescent="0.3">
      <c r="A18" s="29">
        <v>5</v>
      </c>
      <c r="B18" s="21"/>
      <c r="C18" s="30"/>
      <c r="D18" s="31">
        <v>0</v>
      </c>
      <c r="E18" s="32">
        <v>5</v>
      </c>
      <c r="F18" s="25">
        <f t="shared" si="0"/>
        <v>1</v>
      </c>
      <c r="G18" s="33">
        <f t="shared" si="3"/>
        <v>2164264</v>
      </c>
      <c r="H18" s="34">
        <f t="shared" si="1"/>
        <v>62977934</v>
      </c>
      <c r="I18" s="35">
        <f t="shared" si="2"/>
        <v>2164264</v>
      </c>
      <c r="J18" s="13"/>
      <c r="K18" s="13"/>
      <c r="M18" s="36" t="s">
        <v>29</v>
      </c>
    </row>
    <row r="19" spans="1:13" x14ac:dyDescent="0.25">
      <c r="A19" s="29">
        <v>6</v>
      </c>
      <c r="B19" s="21"/>
      <c r="C19" s="30"/>
      <c r="D19" s="31">
        <v>0</v>
      </c>
      <c r="E19" s="32">
        <v>6</v>
      </c>
      <c r="F19" s="25">
        <f t="shared" si="0"/>
        <v>1</v>
      </c>
      <c r="G19" s="33">
        <f t="shared" si="3"/>
        <v>2164264</v>
      </c>
      <c r="H19" s="34">
        <f t="shared" si="1"/>
        <v>62977934</v>
      </c>
      <c r="I19" s="35">
        <f t="shared" si="2"/>
        <v>2164264</v>
      </c>
      <c r="J19" s="13"/>
      <c r="K19" s="13"/>
    </row>
    <row r="20" spans="1:13" x14ac:dyDescent="0.25">
      <c r="A20" s="29">
        <v>7</v>
      </c>
      <c r="B20" s="21"/>
      <c r="C20" s="30"/>
      <c r="D20" s="31"/>
      <c r="E20" s="32">
        <v>7</v>
      </c>
      <c r="F20" s="25">
        <f t="shared" si="0"/>
        <v>1</v>
      </c>
      <c r="G20" s="33">
        <f t="shared" si="3"/>
        <v>2164264</v>
      </c>
      <c r="H20" s="34">
        <f t="shared" si="1"/>
        <v>62977934</v>
      </c>
      <c r="I20" s="35">
        <f t="shared" si="2"/>
        <v>2164264</v>
      </c>
      <c r="J20" s="13"/>
      <c r="K20" s="13"/>
    </row>
    <row r="21" spans="1:13" x14ac:dyDescent="0.25">
      <c r="A21" s="29">
        <v>8</v>
      </c>
      <c r="B21" s="21"/>
      <c r="C21" s="30"/>
      <c r="D21" s="31"/>
      <c r="E21" s="32">
        <v>8</v>
      </c>
      <c r="F21" s="25">
        <f t="shared" si="0"/>
        <v>1</v>
      </c>
      <c r="G21" s="33">
        <f t="shared" si="3"/>
        <v>2164264</v>
      </c>
      <c r="H21" s="34">
        <f t="shared" si="1"/>
        <v>62977934</v>
      </c>
      <c r="I21" s="35">
        <f t="shared" si="2"/>
        <v>2164264</v>
      </c>
      <c r="J21" s="13"/>
      <c r="K21" s="13"/>
    </row>
    <row r="22" spans="1:13" x14ac:dyDescent="0.25">
      <c r="A22" s="29">
        <v>9</v>
      </c>
      <c r="B22" s="21"/>
      <c r="C22" s="30"/>
      <c r="D22" s="31"/>
      <c r="E22" s="32">
        <v>9</v>
      </c>
      <c r="F22" s="25">
        <f t="shared" si="0"/>
        <v>1</v>
      </c>
      <c r="G22" s="33">
        <f t="shared" si="3"/>
        <v>2164264</v>
      </c>
      <c r="H22" s="34">
        <f t="shared" si="1"/>
        <v>62977934</v>
      </c>
      <c r="I22" s="35">
        <f t="shared" si="2"/>
        <v>2164264</v>
      </c>
      <c r="J22" s="13"/>
      <c r="K22" s="13"/>
    </row>
    <row r="23" spans="1:13" x14ac:dyDescent="0.25">
      <c r="A23" s="29">
        <v>10</v>
      </c>
      <c r="B23" s="21"/>
      <c r="C23" s="30"/>
      <c r="D23" s="37"/>
      <c r="E23" s="32">
        <v>10</v>
      </c>
      <c r="F23" s="25">
        <f t="shared" si="0"/>
        <v>1</v>
      </c>
      <c r="G23" s="33">
        <f t="shared" si="3"/>
        <v>2164264</v>
      </c>
      <c r="H23" s="34">
        <f t="shared" si="1"/>
        <v>62977934</v>
      </c>
      <c r="I23" s="35">
        <f t="shared" si="2"/>
        <v>2164264</v>
      </c>
      <c r="J23" s="13"/>
      <c r="K23" s="13"/>
    </row>
    <row r="24" spans="1:13" x14ac:dyDescent="0.25">
      <c r="A24" s="29">
        <v>11</v>
      </c>
      <c r="B24" s="21"/>
      <c r="C24" s="30"/>
      <c r="D24" s="37"/>
      <c r="E24" s="32">
        <v>11</v>
      </c>
      <c r="F24" s="25">
        <f t="shared" si="0"/>
        <v>1</v>
      </c>
      <c r="G24" s="33">
        <f t="shared" si="3"/>
        <v>2164264</v>
      </c>
      <c r="H24" s="34">
        <f t="shared" si="1"/>
        <v>62977934</v>
      </c>
      <c r="I24" s="35">
        <f t="shared" si="2"/>
        <v>2164264</v>
      </c>
      <c r="J24" s="13"/>
      <c r="K24" s="13"/>
    </row>
    <row r="25" spans="1:13" x14ac:dyDescent="0.25">
      <c r="A25" s="29">
        <v>12</v>
      </c>
      <c r="B25" s="21"/>
      <c r="C25" s="30"/>
      <c r="D25" s="37"/>
      <c r="E25" s="32"/>
      <c r="F25" s="25">
        <f t="shared" si="0"/>
        <v>0</v>
      </c>
      <c r="G25" s="33"/>
      <c r="H25" s="34">
        <f t="shared" si="1"/>
        <v>62977934</v>
      </c>
      <c r="I25" s="35">
        <f t="shared" si="2"/>
        <v>2164264</v>
      </c>
      <c r="J25" s="13"/>
      <c r="K25" s="13"/>
    </row>
    <row r="26" spans="1:13" x14ac:dyDescent="0.25">
      <c r="A26" s="29">
        <v>13</v>
      </c>
      <c r="B26" s="21"/>
      <c r="C26" s="30"/>
      <c r="D26" s="37"/>
      <c r="E26" s="32">
        <v>9</v>
      </c>
      <c r="F26" s="25">
        <f t="shared" si="0"/>
        <v>1</v>
      </c>
      <c r="G26" s="33">
        <f>+G24+D26</f>
        <v>2164264</v>
      </c>
      <c r="H26" s="34">
        <f t="shared" si="1"/>
        <v>62977934</v>
      </c>
      <c r="I26" s="35">
        <f t="shared" si="2"/>
        <v>2164264</v>
      </c>
      <c r="J26" s="13"/>
      <c r="K26" s="13"/>
      <c r="L26" s="13"/>
    </row>
    <row r="27" spans="1:13" x14ac:dyDescent="0.25">
      <c r="A27" s="29">
        <v>14</v>
      </c>
      <c r="B27" s="21"/>
      <c r="C27" s="30"/>
      <c r="D27" s="37"/>
      <c r="E27" s="32">
        <v>9</v>
      </c>
      <c r="F27" s="25">
        <f t="shared" si="0"/>
        <v>1</v>
      </c>
      <c r="G27" s="33">
        <f t="shared" si="3"/>
        <v>2164264</v>
      </c>
      <c r="H27" s="34">
        <f t="shared" si="1"/>
        <v>62977934</v>
      </c>
      <c r="I27" s="35">
        <f t="shared" si="2"/>
        <v>2164264</v>
      </c>
      <c r="J27" s="13"/>
      <c r="K27" s="13"/>
      <c r="L27" s="13"/>
    </row>
    <row r="28" spans="1:13" x14ac:dyDescent="0.25">
      <c r="A28" s="29">
        <v>15</v>
      </c>
      <c r="B28" s="21"/>
      <c r="C28" s="30"/>
      <c r="D28" s="37"/>
      <c r="E28" s="32">
        <v>10</v>
      </c>
      <c r="F28" s="25">
        <f t="shared" si="0"/>
        <v>1</v>
      </c>
      <c r="G28" s="33">
        <f>+G27+D28</f>
        <v>2164264</v>
      </c>
      <c r="H28" s="34">
        <f t="shared" si="1"/>
        <v>62977934</v>
      </c>
      <c r="I28" s="35">
        <f t="shared" si="2"/>
        <v>2164264</v>
      </c>
      <c r="J28" s="13"/>
      <c r="K28" s="13"/>
    </row>
    <row r="29" spans="1:13" x14ac:dyDescent="0.25">
      <c r="A29" s="29">
        <v>16</v>
      </c>
      <c r="B29" s="21"/>
      <c r="C29" s="30"/>
      <c r="D29" s="31"/>
      <c r="E29" s="32">
        <v>11</v>
      </c>
      <c r="F29" s="25">
        <f t="shared" si="0"/>
        <v>1</v>
      </c>
      <c r="G29" s="33">
        <f>+G28+D29</f>
        <v>2164264</v>
      </c>
      <c r="H29" s="34">
        <f t="shared" si="1"/>
        <v>62977934</v>
      </c>
      <c r="I29" s="35">
        <f t="shared" si="2"/>
        <v>2164264</v>
      </c>
      <c r="J29" s="13"/>
      <c r="K29" s="13"/>
      <c r="L29" s="16"/>
    </row>
    <row r="30" spans="1:13" x14ac:dyDescent="0.25">
      <c r="A30" s="29">
        <v>17</v>
      </c>
      <c r="B30" s="21"/>
      <c r="C30" s="30"/>
      <c r="D30" s="31"/>
      <c r="E30" s="32">
        <v>12</v>
      </c>
      <c r="F30" s="25">
        <f t="shared" si="0"/>
        <v>1</v>
      </c>
      <c r="G30" s="33">
        <f>+G29+D30</f>
        <v>2164264</v>
      </c>
      <c r="H30" s="34">
        <f t="shared" si="1"/>
        <v>62977934</v>
      </c>
      <c r="I30" s="35">
        <f t="shared" si="2"/>
        <v>2164264</v>
      </c>
      <c r="J30" s="13"/>
      <c r="K30" s="13"/>
    </row>
    <row r="31" spans="1:13" x14ac:dyDescent="0.25">
      <c r="A31" s="29">
        <v>18</v>
      </c>
      <c r="B31" s="21"/>
      <c r="C31" s="30"/>
      <c r="D31" s="37"/>
      <c r="E31" s="32"/>
      <c r="F31" s="25">
        <f t="shared" si="0"/>
        <v>0</v>
      </c>
      <c r="G31" s="33"/>
      <c r="H31" s="34">
        <f t="shared" si="1"/>
        <v>62977934</v>
      </c>
      <c r="I31" s="35">
        <f t="shared" si="2"/>
        <v>2164264</v>
      </c>
      <c r="J31" s="13"/>
      <c r="K31" s="13"/>
    </row>
    <row r="32" spans="1:13" x14ac:dyDescent="0.25">
      <c r="A32" s="29">
        <v>19</v>
      </c>
      <c r="B32" s="21"/>
      <c r="C32" s="30"/>
      <c r="D32" s="31"/>
      <c r="E32" s="32"/>
      <c r="F32" s="25">
        <f t="shared" si="0"/>
        <v>1</v>
      </c>
      <c r="G32" s="33">
        <f>+G30+D32</f>
        <v>2164264</v>
      </c>
      <c r="H32" s="34">
        <f t="shared" si="1"/>
        <v>62977934</v>
      </c>
      <c r="I32" s="35">
        <f t="shared" si="2"/>
        <v>2164264</v>
      </c>
      <c r="J32" s="13"/>
      <c r="K32" s="13"/>
    </row>
    <row r="33" spans="1:11" x14ac:dyDescent="0.25">
      <c r="A33" s="29">
        <v>20</v>
      </c>
      <c r="B33" s="21"/>
      <c r="C33" s="30"/>
      <c r="D33" s="31"/>
      <c r="E33" s="32">
        <v>12</v>
      </c>
      <c r="F33" s="25">
        <f t="shared" si="0"/>
        <v>1</v>
      </c>
      <c r="G33" s="33">
        <f>+G32+D33</f>
        <v>2164264</v>
      </c>
      <c r="H33" s="34">
        <f t="shared" si="1"/>
        <v>62977934</v>
      </c>
      <c r="I33" s="35">
        <f t="shared" si="2"/>
        <v>2164264</v>
      </c>
      <c r="J33" s="13"/>
      <c r="K33" s="13"/>
    </row>
    <row r="34" spans="1:11" x14ac:dyDescent="0.25">
      <c r="A34" s="29"/>
      <c r="B34" s="21"/>
      <c r="C34" s="30"/>
      <c r="D34" s="31"/>
      <c r="E34" s="32"/>
      <c r="F34" s="25"/>
      <c r="G34" s="33"/>
      <c r="H34" s="34"/>
      <c r="I34" s="35">
        <f t="shared" si="2"/>
        <v>2164264</v>
      </c>
      <c r="J34" s="13"/>
      <c r="K34" s="13"/>
    </row>
    <row r="35" spans="1:11" x14ac:dyDescent="0.25">
      <c r="A35" s="29"/>
      <c r="B35" s="21"/>
      <c r="C35" s="30"/>
      <c r="D35" s="31"/>
      <c r="E35" s="32"/>
      <c r="F35" s="25"/>
      <c r="G35" s="33"/>
      <c r="H35" s="34"/>
      <c r="I35" s="35">
        <f t="shared" si="2"/>
        <v>2164264</v>
      </c>
    </row>
    <row r="36" spans="1:11" ht="15.75" thickBot="1" x14ac:dyDescent="0.3">
      <c r="A36" s="29"/>
      <c r="B36" s="21"/>
      <c r="C36" s="30"/>
      <c r="D36" s="31"/>
      <c r="E36" s="32"/>
      <c r="F36" s="25"/>
      <c r="G36" s="33"/>
      <c r="H36" s="34"/>
      <c r="I36" s="35">
        <f t="shared" si="2"/>
        <v>2164264</v>
      </c>
    </row>
    <row r="37" spans="1:11" ht="15.75" thickBot="1" x14ac:dyDescent="0.3">
      <c r="A37" s="38"/>
      <c r="B37" s="39" t="s">
        <v>30</v>
      </c>
      <c r="C37" s="39"/>
      <c r="D37" s="40">
        <f>SUM(D14:D34)-D25-D31</f>
        <v>2164264</v>
      </c>
      <c r="E37" s="41"/>
      <c r="F37" s="42"/>
      <c r="G37" s="41"/>
      <c r="H37" s="43"/>
      <c r="I37" s="43"/>
      <c r="J37" s="2"/>
      <c r="K37" s="2"/>
    </row>
  </sheetData>
  <mergeCells count="9">
    <mergeCell ref="G12:G13"/>
    <mergeCell ref="H12:H13"/>
    <mergeCell ref="I12:I13"/>
    <mergeCell ref="A2:B2"/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3D30-9C8E-4FCA-A753-CEFA9A2CCF10}">
  <dimension ref="B1:P21"/>
  <sheetViews>
    <sheetView tabSelected="1" zoomScale="94" zoomScaleNormal="94" workbookViewId="0">
      <selection activeCell="L17" sqref="L17"/>
    </sheetView>
  </sheetViews>
  <sheetFormatPr baseColWidth="10" defaultColWidth="11.42578125" defaultRowHeight="15" x14ac:dyDescent="0.25"/>
  <cols>
    <col min="2" max="2" width="7.28515625" customWidth="1"/>
    <col min="3" max="3" width="19.85546875" customWidth="1"/>
    <col min="4" max="4" width="16.7109375" customWidth="1"/>
    <col min="5" max="5" width="20.140625" customWidth="1"/>
    <col min="6" max="6" width="18.28515625" customWidth="1"/>
    <col min="7" max="7" width="18.5703125" customWidth="1"/>
    <col min="8" max="8" width="19.42578125" customWidth="1"/>
    <col min="9" max="9" width="16.140625" customWidth="1"/>
    <col min="10" max="11" width="16.85546875" customWidth="1"/>
    <col min="12" max="12" width="25" customWidth="1"/>
    <col min="13" max="13" width="21.85546875" bestFit="1" customWidth="1"/>
    <col min="14" max="14" width="26.5703125" bestFit="1" customWidth="1"/>
    <col min="15" max="15" width="19.140625" style="45" customWidth="1"/>
    <col min="16" max="16" width="16.7109375" bestFit="1" customWidth="1"/>
    <col min="17" max="17" width="17.28515625" customWidth="1"/>
  </cols>
  <sheetData>
    <row r="1" spans="2:16" x14ac:dyDescent="0.25">
      <c r="B1" s="46" t="s">
        <v>0</v>
      </c>
      <c r="C1" s="47"/>
      <c r="D1" s="46" t="s">
        <v>250</v>
      </c>
      <c r="E1" s="48"/>
      <c r="F1" s="48"/>
      <c r="G1" s="47"/>
      <c r="H1" s="47"/>
      <c r="I1" s="48"/>
      <c r="J1" s="48"/>
      <c r="K1" s="48"/>
    </row>
    <row r="2" spans="2:16" x14ac:dyDescent="0.25">
      <c r="B2" s="243" t="s">
        <v>2</v>
      </c>
      <c r="C2" s="243"/>
      <c r="D2" s="46" t="s">
        <v>251</v>
      </c>
      <c r="E2" s="48"/>
      <c r="F2" s="47" t="s">
        <v>79</v>
      </c>
      <c r="H2" s="47">
        <v>156757</v>
      </c>
      <c r="I2" s="48"/>
      <c r="J2" s="48"/>
      <c r="K2" s="48"/>
    </row>
    <row r="3" spans="2:16" x14ac:dyDescent="0.25">
      <c r="B3" s="46" t="s">
        <v>4</v>
      </c>
      <c r="C3" s="49"/>
      <c r="D3" s="46" t="s">
        <v>252</v>
      </c>
      <c r="E3" s="48"/>
      <c r="F3" s="48"/>
      <c r="G3" s="48"/>
      <c r="H3" s="48"/>
      <c r="I3" s="48"/>
      <c r="J3" s="48"/>
      <c r="K3" s="48"/>
      <c r="N3" s="2"/>
      <c r="O3" s="233"/>
      <c r="P3" s="2"/>
    </row>
    <row r="4" spans="2:16" ht="15.75" thickBot="1" x14ac:dyDescent="0.3">
      <c r="B4" s="46"/>
      <c r="C4" s="49"/>
      <c r="D4" s="46"/>
      <c r="E4" s="48"/>
      <c r="F4" s="48"/>
      <c r="G4" s="48"/>
      <c r="H4" s="48"/>
      <c r="I4" s="48"/>
      <c r="J4" s="48"/>
      <c r="K4" s="48"/>
    </row>
    <row r="5" spans="2:16" ht="15.75" thickBot="1" x14ac:dyDescent="0.3">
      <c r="B5" s="47" t="s">
        <v>10</v>
      </c>
      <c r="C5" s="47"/>
      <c r="D5" s="48"/>
      <c r="E5" s="48"/>
      <c r="F5" s="48"/>
      <c r="G5" s="48" t="s">
        <v>216</v>
      </c>
      <c r="H5" s="50">
        <v>2941176</v>
      </c>
      <c r="I5" s="54"/>
      <c r="K5" s="48"/>
      <c r="L5" s="240"/>
      <c r="M5" s="8"/>
      <c r="P5" s="9"/>
    </row>
    <row r="6" spans="2:16" ht="15.75" thickBot="1" x14ac:dyDescent="0.3">
      <c r="B6" s="47" t="s">
        <v>12</v>
      </c>
      <c r="C6" s="47"/>
      <c r="D6" s="11">
        <v>45994</v>
      </c>
      <c r="E6" s="48"/>
      <c r="F6" s="11"/>
      <c r="G6" s="48" t="s">
        <v>217</v>
      </c>
      <c r="H6" s="13"/>
      <c r="I6" s="52"/>
      <c r="J6" s="48"/>
      <c r="K6" s="48"/>
      <c r="L6" s="44"/>
      <c r="M6" s="235"/>
      <c r="N6" s="45"/>
    </row>
    <row r="7" spans="2:16" ht="15.75" thickBot="1" x14ac:dyDescent="0.3">
      <c r="B7" s="47"/>
      <c r="C7" s="47"/>
      <c r="D7" s="11"/>
      <c r="E7" s="48"/>
      <c r="F7" s="11"/>
      <c r="G7" s="48" t="s">
        <v>218</v>
      </c>
      <c r="H7" s="50">
        <f>SUM(H5:H6)</f>
        <v>2941176</v>
      </c>
      <c r="J7" s="238"/>
      <c r="K7" s="53"/>
    </row>
    <row r="8" spans="2:16" x14ac:dyDescent="0.25">
      <c r="B8" s="47"/>
      <c r="C8" s="47"/>
      <c r="D8" s="11"/>
      <c r="E8" s="48"/>
      <c r="F8" s="11"/>
      <c r="G8" s="48" t="s">
        <v>15</v>
      </c>
      <c r="H8" s="51">
        <f>E18</f>
        <v>2941176</v>
      </c>
      <c r="I8" s="52"/>
      <c r="J8" s="234"/>
      <c r="K8" s="53"/>
      <c r="N8" s="16"/>
    </row>
    <row r="9" spans="2:16" x14ac:dyDescent="0.25">
      <c r="B9" s="47"/>
      <c r="C9" s="47"/>
      <c r="D9" s="11"/>
      <c r="E9" s="48"/>
      <c r="F9" s="11"/>
      <c r="G9" s="47" t="s">
        <v>31</v>
      </c>
      <c r="H9" s="54">
        <f>H7-E16</f>
        <v>0</v>
      </c>
      <c r="I9" s="52"/>
      <c r="J9" s="54"/>
      <c r="K9" s="54"/>
      <c r="N9" s="16"/>
    </row>
    <row r="10" spans="2:16" x14ac:dyDescent="0.25">
      <c r="B10" s="47" t="s">
        <v>16</v>
      </c>
      <c r="C10" s="47"/>
      <c r="D10" s="11">
        <v>46021</v>
      </c>
      <c r="E10" s="11"/>
      <c r="F10" s="48"/>
      <c r="G10" s="54"/>
      <c r="H10" s="54"/>
      <c r="I10" s="48"/>
      <c r="J10" s="48"/>
      <c r="K10" s="48"/>
    </row>
    <row r="11" spans="2:16" x14ac:dyDescent="0.25">
      <c r="B11" s="47"/>
      <c r="C11" s="47"/>
      <c r="D11" s="11"/>
      <c r="E11" s="11"/>
      <c r="F11" s="48"/>
      <c r="H11" s="54"/>
      <c r="I11" s="54"/>
      <c r="J11" s="48"/>
      <c r="K11" s="48"/>
    </row>
    <row r="12" spans="2:16" x14ac:dyDescent="0.25">
      <c r="B12" s="47"/>
      <c r="C12" s="47"/>
      <c r="D12" s="11"/>
      <c r="E12" s="11"/>
      <c r="F12" s="48"/>
      <c r="H12" s="54"/>
      <c r="I12" s="54"/>
      <c r="J12" s="48"/>
      <c r="K12" s="48"/>
    </row>
    <row r="13" spans="2:16" x14ac:dyDescent="0.25">
      <c r="B13" s="48"/>
      <c r="C13" s="48"/>
      <c r="D13" s="48"/>
      <c r="E13" s="48"/>
      <c r="F13" s="48"/>
      <c r="G13" s="48"/>
      <c r="H13" s="48"/>
      <c r="I13" s="48"/>
      <c r="J13" s="48"/>
      <c r="K13" s="48"/>
      <c r="M13" s="44"/>
      <c r="N13" s="16"/>
    </row>
    <row r="14" spans="2:16" x14ac:dyDescent="0.25">
      <c r="B14" s="244" t="s">
        <v>18</v>
      </c>
      <c r="C14" s="242" t="s">
        <v>33</v>
      </c>
      <c r="D14" s="242" t="s">
        <v>20</v>
      </c>
      <c r="E14" s="244" t="s">
        <v>21</v>
      </c>
      <c r="F14" s="242" t="s">
        <v>22</v>
      </c>
      <c r="G14" s="62" t="s">
        <v>23</v>
      </c>
      <c r="H14" s="242" t="s">
        <v>24</v>
      </c>
      <c r="I14" s="242" t="s">
        <v>25</v>
      </c>
      <c r="J14" s="242" t="s">
        <v>26</v>
      </c>
      <c r="K14" s="241" t="s">
        <v>242</v>
      </c>
      <c r="L14" s="241" t="s">
        <v>240</v>
      </c>
      <c r="M14" s="241" t="s">
        <v>241</v>
      </c>
      <c r="N14" s="16"/>
      <c r="P14" s="45"/>
    </row>
    <row r="15" spans="2:16" x14ac:dyDescent="0.25">
      <c r="B15" s="244"/>
      <c r="C15" s="242"/>
      <c r="D15" s="242"/>
      <c r="E15" s="244"/>
      <c r="F15" s="242"/>
      <c r="G15" s="62" t="s">
        <v>27</v>
      </c>
      <c r="H15" s="242"/>
      <c r="I15" s="242"/>
      <c r="J15" s="242"/>
      <c r="K15" s="241"/>
      <c r="L15" s="241"/>
      <c r="M15" s="241"/>
      <c r="N15" s="67"/>
    </row>
    <row r="16" spans="2:16" x14ac:dyDescent="0.25">
      <c r="B16" s="56">
        <v>1</v>
      </c>
      <c r="C16" s="55">
        <v>46017</v>
      </c>
      <c r="D16" s="56" t="s">
        <v>253</v>
      </c>
      <c r="E16" s="239">
        <v>2941176</v>
      </c>
      <c r="F16" s="56">
        <v>1</v>
      </c>
      <c r="G16" s="58">
        <f t="shared" ref="G16" si="0">H16/$H$7</f>
        <v>1</v>
      </c>
      <c r="H16" s="57">
        <f>E16</f>
        <v>2941176</v>
      </c>
      <c r="I16" s="57">
        <f>$H$7-E16</f>
        <v>0</v>
      </c>
      <c r="J16" s="57">
        <f>H16</f>
        <v>2941176</v>
      </c>
      <c r="K16" s="236" t="s">
        <v>249</v>
      </c>
      <c r="L16" s="237">
        <v>46059</v>
      </c>
      <c r="M16" s="237">
        <v>46047</v>
      </c>
      <c r="N16" s="67"/>
      <c r="P16" s="44"/>
    </row>
    <row r="17" spans="2:14" x14ac:dyDescent="0.25">
      <c r="B17" s="60"/>
      <c r="C17" s="66"/>
      <c r="D17" s="64"/>
      <c r="E17" s="65"/>
      <c r="F17" s="60"/>
      <c r="G17" s="61"/>
      <c r="H17" s="57"/>
      <c r="I17" s="57"/>
      <c r="J17" s="57"/>
      <c r="K17" s="230"/>
      <c r="L17" s="10"/>
      <c r="M17" s="44"/>
      <c r="N17" s="44"/>
    </row>
    <row r="18" spans="2:14" x14ac:dyDescent="0.25">
      <c r="B18" s="70"/>
      <c r="C18" s="208" t="s">
        <v>30</v>
      </c>
      <c r="D18" s="210"/>
      <c r="E18" s="211">
        <f>SUM(E16:E17)</f>
        <v>2941176</v>
      </c>
      <c r="F18" s="170"/>
      <c r="G18" s="212"/>
      <c r="H18" s="209"/>
      <c r="I18" s="209"/>
      <c r="J18" s="209">
        <f>SUM(J16:J17)</f>
        <v>2941176</v>
      </c>
      <c r="K18" s="231"/>
      <c r="M18" s="44"/>
    </row>
    <row r="20" spans="2:14" x14ac:dyDescent="0.25">
      <c r="D20" s="44"/>
      <c r="E20" s="44"/>
    </row>
    <row r="21" spans="2:14" x14ac:dyDescent="0.25">
      <c r="D21" s="44"/>
    </row>
  </sheetData>
  <mergeCells count="12">
    <mergeCell ref="F14:F15"/>
    <mergeCell ref="K14:K15"/>
    <mergeCell ref="B2:C2"/>
    <mergeCell ref="B14:B15"/>
    <mergeCell ref="C14:C15"/>
    <mergeCell ref="D14:D15"/>
    <mergeCell ref="E14:E15"/>
    <mergeCell ref="L14:L15"/>
    <mergeCell ref="M14:M15"/>
    <mergeCell ref="H14:H15"/>
    <mergeCell ref="I14:I15"/>
    <mergeCell ref="J14:J15"/>
  </mergeCells>
  <phoneticPr fontId="3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4267-17F0-46C2-BAB8-64B4EEC7AAE9}">
  <dimension ref="A3:X27"/>
  <sheetViews>
    <sheetView topLeftCell="A12" workbookViewId="0">
      <selection activeCell="D4" sqref="D4"/>
    </sheetView>
  </sheetViews>
  <sheetFormatPr baseColWidth="10" defaultRowHeight="15" x14ac:dyDescent="0.25"/>
  <cols>
    <col min="1" max="1" width="22.28515625" customWidth="1"/>
    <col min="2" max="2" width="11" customWidth="1"/>
    <col min="3" max="3" width="16" customWidth="1"/>
    <col min="4" max="4" width="17.7109375" customWidth="1"/>
    <col min="5" max="5" width="12.28515625" customWidth="1"/>
    <col min="6" max="6" width="15.140625" customWidth="1"/>
    <col min="7" max="7" width="14.28515625" customWidth="1"/>
    <col min="8" max="8" width="16.5703125" hidden="1" customWidth="1"/>
    <col min="9" max="9" width="20.140625" customWidth="1"/>
    <col min="10" max="10" width="14" hidden="1" customWidth="1"/>
    <col min="11" max="11" width="13" hidden="1" customWidth="1"/>
    <col min="12" max="14" width="14.5703125" hidden="1" customWidth="1"/>
    <col min="15" max="15" width="15.5703125" bestFit="1" customWidth="1"/>
    <col min="16" max="16" width="15.7109375" customWidth="1"/>
    <col min="17" max="17" width="15.85546875" customWidth="1"/>
    <col min="18" max="18" width="14.5703125" bestFit="1" customWidth="1"/>
    <col min="19" max="19" width="15.85546875" customWidth="1"/>
    <col min="20" max="20" width="14.5703125" bestFit="1" customWidth="1"/>
    <col min="22" max="22" width="19.140625" customWidth="1"/>
    <col min="23" max="23" width="11.42578125" style="136"/>
  </cols>
  <sheetData>
    <row r="3" spans="1:24" ht="31.5" x14ac:dyDescent="0.25">
      <c r="B3" s="73" t="s">
        <v>37</v>
      </c>
      <c r="C3" s="73" t="s">
        <v>35</v>
      </c>
      <c r="D3" s="77" t="s">
        <v>40</v>
      </c>
      <c r="E3" s="77" t="s">
        <v>43</v>
      </c>
      <c r="F3" s="77" t="s">
        <v>42</v>
      </c>
      <c r="G3" s="78" t="s">
        <v>34</v>
      </c>
      <c r="H3" s="73" t="s">
        <v>36</v>
      </c>
      <c r="I3" s="73" t="s">
        <v>39</v>
      </c>
      <c r="J3" s="77" t="s">
        <v>40</v>
      </c>
      <c r="K3" s="117" t="s">
        <v>41</v>
      </c>
      <c r="L3" s="73" t="s">
        <v>45</v>
      </c>
      <c r="M3" s="73" t="s">
        <v>46</v>
      </c>
      <c r="N3" s="73" t="s">
        <v>44</v>
      </c>
      <c r="O3" s="113" t="s">
        <v>57</v>
      </c>
      <c r="P3" s="73" t="s">
        <v>41</v>
      </c>
      <c r="Q3" s="113" t="s">
        <v>56</v>
      </c>
      <c r="R3" s="73" t="s">
        <v>41</v>
      </c>
      <c r="S3" s="113" t="s">
        <v>58</v>
      </c>
      <c r="T3" s="73" t="s">
        <v>41</v>
      </c>
    </row>
    <row r="4" spans="1:24" x14ac:dyDescent="0.25">
      <c r="B4" s="79">
        <v>2</v>
      </c>
      <c r="C4" s="80">
        <v>85330</v>
      </c>
      <c r="D4" s="81">
        <v>2120202008</v>
      </c>
      <c r="E4" s="81">
        <v>20240000288</v>
      </c>
      <c r="F4" s="81">
        <v>20240008168</v>
      </c>
      <c r="G4" s="82" t="s">
        <v>62</v>
      </c>
      <c r="H4" s="83"/>
      <c r="I4" s="63">
        <v>295461872</v>
      </c>
      <c r="J4" s="111"/>
      <c r="K4" s="99"/>
      <c r="L4" s="99"/>
      <c r="M4" s="99"/>
      <c r="N4" s="99"/>
      <c r="O4" s="99">
        <v>17575199</v>
      </c>
      <c r="P4" s="99">
        <f>I4-O4</f>
        <v>277886673</v>
      </c>
      <c r="Q4" s="68">
        <v>35150399</v>
      </c>
      <c r="R4" s="71">
        <f>P4-Q4</f>
        <v>242736274</v>
      </c>
      <c r="S4" s="68">
        <v>36932585</v>
      </c>
      <c r="T4" s="68">
        <f>R4-S4</f>
        <v>205803689</v>
      </c>
    </row>
    <row r="5" spans="1:24" x14ac:dyDescent="0.25">
      <c r="B5" s="89" t="s">
        <v>30</v>
      </c>
      <c r="C5" s="100"/>
      <c r="D5" s="101"/>
      <c r="E5" s="101"/>
      <c r="F5" s="101"/>
      <c r="G5" s="102"/>
      <c r="H5" s="103"/>
      <c r="I5" s="99">
        <f>I4</f>
        <v>295461872</v>
      </c>
      <c r="J5" s="99"/>
      <c r="K5" s="99"/>
      <c r="L5" s="72"/>
      <c r="M5" s="72"/>
      <c r="N5" s="72"/>
      <c r="O5" s="72"/>
      <c r="P5" s="72"/>
      <c r="Q5" s="70"/>
      <c r="R5" s="70"/>
      <c r="S5" s="70"/>
      <c r="T5" s="70"/>
    </row>
    <row r="6" spans="1:24" x14ac:dyDescent="0.25">
      <c r="B6" s="131"/>
      <c r="C6" s="132"/>
      <c r="D6" s="133"/>
      <c r="E6" s="133"/>
      <c r="F6" s="133"/>
      <c r="G6" s="134"/>
      <c r="H6" s="135"/>
      <c r="I6" s="105"/>
      <c r="J6" s="105"/>
      <c r="K6" s="105"/>
      <c r="L6" s="136"/>
      <c r="M6" s="136"/>
      <c r="N6" s="136"/>
      <c r="O6" s="136"/>
      <c r="P6" s="136"/>
    </row>
    <row r="7" spans="1:24" x14ac:dyDescent="0.25">
      <c r="B7" s="131"/>
      <c r="C7" s="132"/>
      <c r="D7" s="133"/>
      <c r="E7" s="133"/>
      <c r="F7" s="133"/>
      <c r="G7" s="134"/>
      <c r="H7" s="135"/>
      <c r="I7" s="105"/>
      <c r="J7" s="105"/>
      <c r="K7" s="105"/>
      <c r="L7" s="136"/>
      <c r="M7" s="136"/>
      <c r="N7" s="136"/>
      <c r="O7" s="136"/>
      <c r="P7" s="136"/>
    </row>
    <row r="8" spans="1:24" x14ac:dyDescent="0.25">
      <c r="B8" s="254" t="s">
        <v>66</v>
      </c>
      <c r="C8" s="254"/>
      <c r="D8" s="84"/>
      <c r="E8" s="84"/>
      <c r="F8" s="84"/>
      <c r="G8" s="85"/>
      <c r="H8" s="86"/>
      <c r="I8" s="87"/>
      <c r="J8" s="87"/>
      <c r="K8" s="87"/>
    </row>
    <row r="9" spans="1:24" ht="31.5" x14ac:dyDescent="0.25">
      <c r="B9" s="73" t="s">
        <v>37</v>
      </c>
      <c r="C9" s="73" t="s">
        <v>35</v>
      </c>
      <c r="D9" s="77" t="s">
        <v>40</v>
      </c>
      <c r="E9" s="77" t="s">
        <v>43</v>
      </c>
      <c r="F9" s="77" t="s">
        <v>42</v>
      </c>
      <c r="G9" s="78" t="s">
        <v>34</v>
      </c>
      <c r="H9" s="73" t="s">
        <v>36</v>
      </c>
      <c r="I9" s="73" t="s">
        <v>39</v>
      </c>
      <c r="J9" s="77" t="s">
        <v>40</v>
      </c>
      <c r="K9" s="117" t="s">
        <v>41</v>
      </c>
      <c r="L9" s="73" t="s">
        <v>45</v>
      </c>
      <c r="M9" s="73" t="s">
        <v>46</v>
      </c>
      <c r="N9" s="73" t="s">
        <v>44</v>
      </c>
      <c r="O9" s="113" t="s">
        <v>57</v>
      </c>
      <c r="P9" s="73" t="s">
        <v>41</v>
      </c>
      <c r="Q9" s="113" t="s">
        <v>56</v>
      </c>
      <c r="R9" s="73" t="s">
        <v>41</v>
      </c>
      <c r="S9" s="113" t="s">
        <v>58</v>
      </c>
      <c r="T9" s="73" t="s">
        <v>41</v>
      </c>
      <c r="V9" s="141">
        <v>40000000</v>
      </c>
      <c r="W9" s="69">
        <v>2</v>
      </c>
      <c r="X9" t="s">
        <v>86</v>
      </c>
    </row>
    <row r="10" spans="1:24" ht="51.75" x14ac:dyDescent="0.25">
      <c r="A10" t="s">
        <v>63</v>
      </c>
      <c r="B10" s="74">
        <v>15</v>
      </c>
      <c r="C10" s="129">
        <v>2719009</v>
      </c>
      <c r="D10" s="75">
        <v>2120201002</v>
      </c>
      <c r="E10" s="75">
        <v>20240000289</v>
      </c>
      <c r="F10" s="75">
        <v>20240008169</v>
      </c>
      <c r="G10" s="104" t="s">
        <v>59</v>
      </c>
      <c r="H10" s="76"/>
      <c r="I10" s="110">
        <v>2778000</v>
      </c>
      <c r="J10" s="79"/>
      <c r="K10" s="63"/>
      <c r="L10" s="63"/>
      <c r="M10" s="63"/>
      <c r="N10" s="63"/>
      <c r="O10" s="112"/>
      <c r="P10" s="119">
        <f>I10</f>
        <v>2778000</v>
      </c>
      <c r="Q10" s="71">
        <v>202017</v>
      </c>
      <c r="R10" s="71"/>
      <c r="S10" s="71"/>
      <c r="T10" s="71"/>
      <c r="V10" s="142">
        <v>468000</v>
      </c>
      <c r="W10" s="69">
        <v>15</v>
      </c>
      <c r="X10" t="s">
        <v>86</v>
      </c>
    </row>
    <row r="11" spans="1:24" ht="51.75" x14ac:dyDescent="0.25">
      <c r="A11" t="s">
        <v>64</v>
      </c>
      <c r="B11" s="74">
        <v>16</v>
      </c>
      <c r="C11" s="129">
        <v>2221101</v>
      </c>
      <c r="D11" s="75">
        <v>2120201002</v>
      </c>
      <c r="E11" s="75">
        <v>20240000290</v>
      </c>
      <c r="F11" s="75">
        <v>20240008170</v>
      </c>
      <c r="G11" s="104" t="s">
        <v>59</v>
      </c>
      <c r="H11" s="76"/>
      <c r="I11" s="110">
        <v>6289172</v>
      </c>
      <c r="J11" s="79"/>
      <c r="K11" s="63"/>
      <c r="L11" s="116"/>
      <c r="M11" s="116"/>
      <c r="N11" s="63"/>
      <c r="O11" s="112"/>
      <c r="P11" s="119">
        <f>I11</f>
        <v>6289172</v>
      </c>
      <c r="Q11" s="71">
        <v>988115</v>
      </c>
      <c r="R11" s="71"/>
      <c r="S11" s="71"/>
      <c r="T11" s="71"/>
      <c r="V11" s="141">
        <v>1900000</v>
      </c>
      <c r="W11" s="69">
        <v>16</v>
      </c>
    </row>
    <row r="12" spans="1:24" ht="51.75" x14ac:dyDescent="0.25">
      <c r="A12" t="s">
        <v>65</v>
      </c>
      <c r="B12" s="74">
        <v>17</v>
      </c>
      <c r="C12" s="129">
        <v>2381301</v>
      </c>
      <c r="D12" s="75">
        <v>2120201002</v>
      </c>
      <c r="E12" s="70">
        <v>20240000291</v>
      </c>
      <c r="F12" s="75">
        <v>20240008171</v>
      </c>
      <c r="G12" s="104" t="s">
        <v>59</v>
      </c>
      <c r="H12" s="76"/>
      <c r="I12" s="110">
        <v>28360000</v>
      </c>
      <c r="J12" s="79"/>
      <c r="K12" s="63"/>
      <c r="L12" s="118"/>
      <c r="M12" s="63"/>
      <c r="N12" s="63"/>
      <c r="O12" s="112">
        <v>3733138</v>
      </c>
      <c r="P12" s="119">
        <f>I12-O12</f>
        <v>24626862</v>
      </c>
      <c r="Q12" s="71">
        <v>2312480</v>
      </c>
      <c r="R12" s="70"/>
      <c r="S12" s="71"/>
      <c r="T12" s="70"/>
      <c r="V12" s="142">
        <v>3780000</v>
      </c>
      <c r="W12" s="69">
        <v>17</v>
      </c>
    </row>
    <row r="13" spans="1:24" ht="51.75" x14ac:dyDescent="0.25">
      <c r="A13" t="s">
        <v>67</v>
      </c>
      <c r="B13" s="74">
        <v>18</v>
      </c>
      <c r="C13" s="128">
        <v>2391102</v>
      </c>
      <c r="D13" s="109">
        <v>2120201002</v>
      </c>
      <c r="E13" s="109">
        <v>20240000292</v>
      </c>
      <c r="F13" s="75">
        <v>20240008172</v>
      </c>
      <c r="G13" s="104" t="s">
        <v>59</v>
      </c>
      <c r="H13" s="76"/>
      <c r="I13" s="130">
        <v>2683367</v>
      </c>
      <c r="J13" s="79"/>
      <c r="K13" s="63"/>
      <c r="L13" s="63"/>
      <c r="M13" s="63"/>
      <c r="N13" s="63"/>
      <c r="O13" s="112"/>
      <c r="P13" s="119">
        <f>I13</f>
        <v>2683367</v>
      </c>
      <c r="Q13" s="71">
        <v>325480</v>
      </c>
      <c r="R13" s="70"/>
      <c r="S13" s="71"/>
      <c r="T13" s="70"/>
      <c r="V13" s="141">
        <v>1100000</v>
      </c>
      <c r="W13" s="69">
        <v>18</v>
      </c>
    </row>
    <row r="14" spans="1:24" x14ac:dyDescent="0.25">
      <c r="B14" s="88" t="s">
        <v>30</v>
      </c>
      <c r="C14" s="127"/>
      <c r="D14" s="109"/>
      <c r="E14" s="109"/>
      <c r="F14" s="75"/>
      <c r="G14" s="104"/>
      <c r="H14" s="76"/>
      <c r="I14" s="139">
        <f>SUM(I10:I13)</f>
        <v>40110539</v>
      </c>
      <c r="J14" s="79"/>
      <c r="K14" s="63"/>
      <c r="L14" s="63"/>
      <c r="M14" s="63"/>
      <c r="N14" s="63"/>
      <c r="O14" s="112"/>
      <c r="P14" s="119"/>
      <c r="Q14" s="71"/>
      <c r="R14" s="70"/>
      <c r="S14" s="71"/>
      <c r="T14" s="70"/>
      <c r="V14" s="141">
        <v>7030000</v>
      </c>
      <c r="W14" s="69">
        <v>339</v>
      </c>
    </row>
    <row r="15" spans="1:24" x14ac:dyDescent="0.25">
      <c r="B15" s="90"/>
      <c r="C15" s="91"/>
      <c r="D15" s="92"/>
      <c r="E15" s="92"/>
      <c r="F15" s="92"/>
      <c r="G15" s="93"/>
      <c r="H15" s="94"/>
      <c r="I15" s="87"/>
      <c r="J15" s="105"/>
      <c r="K15" s="105"/>
      <c r="L15" s="120"/>
      <c r="M15" s="45"/>
      <c r="N15" s="45"/>
      <c r="O15" s="120"/>
      <c r="P15" s="44"/>
      <c r="V15" s="142">
        <v>730500</v>
      </c>
      <c r="W15" s="69">
        <v>340</v>
      </c>
    </row>
    <row r="16" spans="1:24" x14ac:dyDescent="0.25">
      <c r="B16" s="90"/>
      <c r="C16" s="91"/>
      <c r="D16" s="92"/>
      <c r="E16" s="92"/>
      <c r="F16" s="92"/>
      <c r="G16" s="93"/>
      <c r="H16" s="94"/>
      <c r="I16" s="87"/>
      <c r="J16" s="105"/>
      <c r="K16" s="105"/>
      <c r="L16" s="120"/>
      <c r="M16" s="45"/>
      <c r="N16" s="45"/>
      <c r="O16" s="120"/>
      <c r="P16" s="44"/>
      <c r="V16" s="141">
        <v>0</v>
      </c>
      <c r="W16" s="69">
        <v>341</v>
      </c>
    </row>
    <row r="17" spans="1:23" x14ac:dyDescent="0.25">
      <c r="B17" s="254" t="s">
        <v>47</v>
      </c>
      <c r="C17" s="254"/>
      <c r="D17" s="92"/>
      <c r="E17" s="92"/>
      <c r="F17" s="92"/>
      <c r="G17" s="93"/>
      <c r="H17" s="94"/>
      <c r="I17" s="87"/>
      <c r="J17" s="105"/>
      <c r="K17" s="105"/>
      <c r="V17" s="142">
        <v>60000</v>
      </c>
      <c r="W17" s="69">
        <v>342</v>
      </c>
    </row>
    <row r="18" spans="1:23" ht="31.5" x14ac:dyDescent="0.25">
      <c r="B18" s="73" t="s">
        <v>37</v>
      </c>
      <c r="C18" s="73" t="s">
        <v>35</v>
      </c>
      <c r="D18" s="77" t="s">
        <v>40</v>
      </c>
      <c r="E18" s="77" t="s">
        <v>43</v>
      </c>
      <c r="F18" s="77" t="s">
        <v>42</v>
      </c>
      <c r="G18" s="78" t="s">
        <v>34</v>
      </c>
      <c r="H18" s="73" t="s">
        <v>36</v>
      </c>
      <c r="I18" s="73" t="s">
        <v>39</v>
      </c>
      <c r="J18" s="73" t="s">
        <v>40</v>
      </c>
      <c r="K18" s="117" t="s">
        <v>41</v>
      </c>
      <c r="L18" s="73" t="s">
        <v>45</v>
      </c>
      <c r="M18" s="73" t="s">
        <v>46</v>
      </c>
      <c r="N18" s="73" t="s">
        <v>44</v>
      </c>
      <c r="O18" s="113" t="s">
        <v>57</v>
      </c>
      <c r="P18" s="73" t="s">
        <v>41</v>
      </c>
      <c r="Q18" s="113" t="s">
        <v>56</v>
      </c>
      <c r="R18" s="73" t="s">
        <v>41</v>
      </c>
      <c r="S18" s="113" t="s">
        <v>58</v>
      </c>
      <c r="T18" s="73" t="s">
        <v>41</v>
      </c>
      <c r="V18" s="141">
        <v>45000</v>
      </c>
      <c r="W18" s="69">
        <v>343</v>
      </c>
    </row>
    <row r="19" spans="1:23" ht="43.5" customHeight="1" x14ac:dyDescent="0.25">
      <c r="A19" t="s">
        <v>81</v>
      </c>
      <c r="B19" s="74">
        <v>339</v>
      </c>
      <c r="C19" s="138">
        <v>3212899</v>
      </c>
      <c r="D19" s="106" t="s">
        <v>60</v>
      </c>
      <c r="E19" s="106" t="s">
        <v>68</v>
      </c>
      <c r="F19" s="106" t="s">
        <v>69</v>
      </c>
      <c r="G19" s="107" t="s">
        <v>61</v>
      </c>
      <c r="H19" s="108"/>
      <c r="I19" s="110">
        <v>30773512</v>
      </c>
      <c r="J19" s="79"/>
      <c r="K19" s="63"/>
      <c r="L19" s="70"/>
      <c r="M19" s="70"/>
      <c r="N19" s="70"/>
      <c r="O19" s="112">
        <v>4513242</v>
      </c>
      <c r="P19" s="112">
        <f>I19-O19</f>
        <v>26260270</v>
      </c>
      <c r="Q19" s="71">
        <v>3482379</v>
      </c>
      <c r="R19" s="70"/>
      <c r="S19" s="71"/>
      <c r="T19" s="70"/>
    </row>
    <row r="20" spans="1:23" ht="51.75" x14ac:dyDescent="0.25">
      <c r="A20" t="s">
        <v>82</v>
      </c>
      <c r="B20" s="74">
        <v>340</v>
      </c>
      <c r="C20" s="138">
        <v>3532212</v>
      </c>
      <c r="D20" s="106" t="s">
        <v>60</v>
      </c>
      <c r="E20" s="106" t="s">
        <v>71</v>
      </c>
      <c r="F20" s="106" t="s">
        <v>70</v>
      </c>
      <c r="G20" s="107" t="s">
        <v>61</v>
      </c>
      <c r="H20" s="76"/>
      <c r="I20" s="110">
        <v>5883000</v>
      </c>
      <c r="J20" s="79"/>
      <c r="K20" s="63"/>
      <c r="L20" s="63"/>
      <c r="M20" s="63"/>
      <c r="N20" s="63"/>
      <c r="O20" s="112"/>
      <c r="P20" s="112">
        <f>I20</f>
        <v>5883000</v>
      </c>
      <c r="Q20" s="71">
        <v>679515</v>
      </c>
      <c r="R20" s="70"/>
      <c r="S20" s="71"/>
      <c r="T20" s="70"/>
    </row>
    <row r="21" spans="1:23" ht="51.75" x14ac:dyDescent="0.25">
      <c r="A21" t="s">
        <v>83</v>
      </c>
      <c r="B21" s="74">
        <v>341</v>
      </c>
      <c r="C21" s="138">
        <v>3212899</v>
      </c>
      <c r="D21" s="106" t="s">
        <v>60</v>
      </c>
      <c r="E21" s="106" t="s">
        <v>72</v>
      </c>
      <c r="F21" s="106" t="s">
        <v>73</v>
      </c>
      <c r="G21" s="107" t="s">
        <v>61</v>
      </c>
      <c r="H21" s="76"/>
      <c r="I21" s="110">
        <v>960000</v>
      </c>
      <c r="J21" s="79"/>
      <c r="K21" s="63"/>
      <c r="L21" s="63"/>
      <c r="M21" s="63"/>
      <c r="N21" s="63"/>
      <c r="O21" s="112"/>
      <c r="P21" s="112">
        <f>I21</f>
        <v>960000</v>
      </c>
      <c r="Q21" s="71">
        <v>917015</v>
      </c>
      <c r="R21" s="71"/>
      <c r="S21" s="71"/>
      <c r="T21" s="71"/>
    </row>
    <row r="22" spans="1:23" ht="51.75" x14ac:dyDescent="0.25">
      <c r="A22" t="s">
        <v>84</v>
      </c>
      <c r="B22" s="74">
        <v>342</v>
      </c>
      <c r="C22" s="138">
        <v>3212899</v>
      </c>
      <c r="D22" s="106" t="s">
        <v>60</v>
      </c>
      <c r="E22" s="106" t="s">
        <v>74</v>
      </c>
      <c r="F22" s="106" t="s">
        <v>75</v>
      </c>
      <c r="G22" s="107" t="s">
        <v>61</v>
      </c>
      <c r="H22" s="76"/>
      <c r="I22" s="110">
        <v>6365241</v>
      </c>
      <c r="J22" s="79"/>
      <c r="K22" s="63"/>
      <c r="L22" s="115"/>
      <c r="M22" s="115"/>
      <c r="N22" s="63"/>
      <c r="O22" s="112"/>
      <c r="P22" s="112">
        <f>I22</f>
        <v>6365241</v>
      </c>
      <c r="Q22" s="71"/>
      <c r="R22" s="71"/>
      <c r="S22" s="71"/>
      <c r="T22" s="71"/>
    </row>
    <row r="23" spans="1:23" ht="51.75" x14ac:dyDescent="0.25">
      <c r="A23" t="s">
        <v>85</v>
      </c>
      <c r="B23" s="74">
        <v>343</v>
      </c>
      <c r="C23" s="137">
        <v>3212899</v>
      </c>
      <c r="D23" s="106" t="s">
        <v>60</v>
      </c>
      <c r="E23" s="106" t="s">
        <v>76</v>
      </c>
      <c r="F23" s="106" t="s">
        <v>77</v>
      </c>
      <c r="G23" s="107" t="s">
        <v>61</v>
      </c>
      <c r="H23" s="76"/>
      <c r="I23" s="110">
        <v>540000</v>
      </c>
      <c r="J23" s="79"/>
      <c r="K23" s="63"/>
      <c r="L23" s="63"/>
      <c r="M23" s="63"/>
      <c r="N23" s="63"/>
      <c r="O23" s="112"/>
      <c r="P23" s="112">
        <f>I23</f>
        <v>540000</v>
      </c>
      <c r="Q23" s="71">
        <v>370912</v>
      </c>
      <c r="R23" s="71"/>
      <c r="S23" s="71"/>
      <c r="T23" s="71"/>
    </row>
    <row r="24" spans="1:23" x14ac:dyDescent="0.25">
      <c r="B24" s="88" t="s">
        <v>30</v>
      </c>
      <c r="C24" s="95"/>
      <c r="D24" s="96"/>
      <c r="E24" s="96"/>
      <c r="F24" s="96"/>
      <c r="G24" s="97"/>
      <c r="H24" s="98"/>
      <c r="I24" s="99">
        <f>SUM(I19:I23)</f>
        <v>44521753</v>
      </c>
      <c r="J24" s="99"/>
      <c r="K24" s="99"/>
      <c r="L24" s="99"/>
      <c r="M24" s="99"/>
      <c r="N24" s="99"/>
      <c r="O24" s="68"/>
      <c r="P24" s="70"/>
      <c r="Q24" s="68"/>
      <c r="R24" s="70"/>
      <c r="S24" s="68"/>
      <c r="T24" s="70"/>
    </row>
    <row r="25" spans="1:23" x14ac:dyDescent="0.25">
      <c r="M25" s="44"/>
    </row>
    <row r="27" spans="1:23" x14ac:dyDescent="0.25">
      <c r="G27" s="2" t="s">
        <v>78</v>
      </c>
      <c r="I27" s="114">
        <f>I5+I14+I24</f>
        <v>380094164</v>
      </c>
      <c r="Q27" s="44">
        <f>Q10+Q11+Q12+Q13+Q19+Q20+Q21+Q23</f>
        <v>9277913</v>
      </c>
    </row>
  </sheetData>
  <autoFilter ref="B9:S14" xr:uid="{821D4267-17F0-46C2-BAB8-64B4EEC7AAE9}"/>
  <mergeCells count="2">
    <mergeCell ref="B8:C8"/>
    <mergeCell ref="B17:C17"/>
  </mergeCells>
  <dataValidations disablePrompts="1" count="2">
    <dataValidation allowBlank="1" showInputMessage="1" showErrorMessage="1" prompt="Suma de los PAC Mensuales digitados" sqref="H19:H24 H10:H17 H4:H8" xr:uid="{69A164A6-FBB7-45BF-A8EA-A92D4A3FBECD}"/>
    <dataValidation type="whole" allowBlank="1" showInputMessage="1" showErrorMessage="1" errorTitle="ERROR" error="El valor ingresado no debe contener décimales" promptTitle="01" prompt="PAC mensual enero" sqref="K4:M4" xr:uid="{181A068F-5ADD-4FC4-B5AC-6CEA69B8E8E9}">
      <formula1>0</formula1>
      <formula2>999999999999</formula2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D63E-B769-4441-83EB-32A2F845146C}">
  <dimension ref="C3:P31"/>
  <sheetViews>
    <sheetView topLeftCell="A7" zoomScale="106" zoomScaleNormal="106" workbookViewId="0">
      <selection activeCell="D5" sqref="D5:D6"/>
    </sheetView>
  </sheetViews>
  <sheetFormatPr baseColWidth="10" defaultRowHeight="15" x14ac:dyDescent="0.25"/>
  <cols>
    <col min="4" max="4" width="17.42578125" customWidth="1"/>
    <col min="5" max="5" width="13.28515625" customWidth="1"/>
    <col min="6" max="6" width="12.5703125" customWidth="1"/>
    <col min="7" max="7" width="11.7109375" customWidth="1"/>
    <col min="8" max="8" width="12" customWidth="1"/>
    <col min="9" max="9" width="15.140625" style="44" customWidth="1"/>
    <col min="12" max="12" width="15.42578125" customWidth="1"/>
    <col min="15" max="15" width="13.5703125" customWidth="1"/>
    <col min="16" max="16" width="16.42578125" customWidth="1"/>
  </cols>
  <sheetData>
    <row r="3" spans="3:16" x14ac:dyDescent="0.25">
      <c r="C3" s="48" t="s">
        <v>95</v>
      </c>
      <c r="D3" s="48"/>
      <c r="E3" s="48"/>
      <c r="F3" s="48"/>
      <c r="G3" s="48"/>
      <c r="H3" s="48"/>
      <c r="I3" s="157"/>
    </row>
    <row r="4" spans="3:16" x14ac:dyDescent="0.25">
      <c r="C4" s="158" t="s">
        <v>32</v>
      </c>
      <c r="D4" s="158" t="s">
        <v>48</v>
      </c>
      <c r="E4" s="158" t="s">
        <v>49</v>
      </c>
      <c r="F4" s="158" t="s">
        <v>50</v>
      </c>
      <c r="G4" s="158" t="s">
        <v>51</v>
      </c>
      <c r="H4" s="158" t="s">
        <v>52</v>
      </c>
      <c r="I4" s="159" t="s">
        <v>53</v>
      </c>
    </row>
    <row r="5" spans="3:16" x14ac:dyDescent="0.25">
      <c r="C5" s="255">
        <v>85330</v>
      </c>
      <c r="D5" s="256" t="s">
        <v>38</v>
      </c>
      <c r="E5" s="161">
        <v>20240008168</v>
      </c>
      <c r="F5" s="162">
        <v>36305490</v>
      </c>
      <c r="G5" s="161"/>
      <c r="H5" s="162">
        <v>627095</v>
      </c>
      <c r="I5" s="163">
        <v>36932585</v>
      </c>
    </row>
    <row r="6" spans="3:16" x14ac:dyDescent="0.25">
      <c r="C6" s="255"/>
      <c r="D6" s="256"/>
      <c r="E6" s="161"/>
      <c r="F6" s="162"/>
      <c r="G6" s="161"/>
      <c r="H6" s="162"/>
      <c r="I6" s="163"/>
    </row>
    <row r="7" spans="3:16" x14ac:dyDescent="0.25">
      <c r="C7" s="164" t="s">
        <v>30</v>
      </c>
      <c r="D7" s="158"/>
      <c r="E7" s="161"/>
      <c r="F7" s="161"/>
      <c r="G7" s="161"/>
      <c r="H7" s="161"/>
      <c r="I7" s="165">
        <f>F5+H5</f>
        <v>36932585</v>
      </c>
    </row>
    <row r="8" spans="3:16" x14ac:dyDescent="0.25">
      <c r="C8" s="48"/>
      <c r="D8" s="48"/>
      <c r="E8" s="48"/>
      <c r="F8" s="48"/>
      <c r="G8" s="48"/>
      <c r="H8" s="48"/>
      <c r="I8" s="157"/>
    </row>
    <row r="9" spans="3:16" x14ac:dyDescent="0.25">
      <c r="C9" s="48"/>
      <c r="D9" s="48"/>
      <c r="E9" s="48"/>
      <c r="F9" s="48"/>
      <c r="G9" s="48"/>
      <c r="H9" s="48"/>
      <c r="I9" s="157"/>
    </row>
    <row r="10" spans="3:16" x14ac:dyDescent="0.25">
      <c r="C10" s="48" t="s">
        <v>47</v>
      </c>
      <c r="D10" s="48"/>
      <c r="E10" s="48" t="s">
        <v>96</v>
      </c>
      <c r="F10" s="48"/>
      <c r="G10" s="48"/>
      <c r="H10" s="48"/>
      <c r="I10" s="157"/>
    </row>
    <row r="11" spans="3:16" x14ac:dyDescent="0.25">
      <c r="C11" s="48" t="s">
        <v>92</v>
      </c>
      <c r="D11" s="48"/>
      <c r="E11" s="48"/>
      <c r="F11" s="48"/>
      <c r="G11" s="48"/>
      <c r="H11" s="48"/>
      <c r="I11" s="157"/>
      <c r="K11" t="s">
        <v>97</v>
      </c>
      <c r="L11" s="70" t="s">
        <v>98</v>
      </c>
      <c r="M11" s="70" t="s">
        <v>99</v>
      </c>
      <c r="N11" s="70" t="s">
        <v>100</v>
      </c>
      <c r="O11" s="70" t="s">
        <v>101</v>
      </c>
      <c r="P11" s="71" t="s">
        <v>102</v>
      </c>
    </row>
    <row r="12" spans="3:16" x14ac:dyDescent="0.25">
      <c r="C12" s="158" t="s">
        <v>32</v>
      </c>
      <c r="D12" s="158" t="s">
        <v>48</v>
      </c>
      <c r="E12" s="158" t="s">
        <v>49</v>
      </c>
      <c r="F12" s="158" t="s">
        <v>50</v>
      </c>
      <c r="G12" s="158" t="s">
        <v>87</v>
      </c>
      <c r="H12" s="158" t="s">
        <v>88</v>
      </c>
      <c r="I12" s="159" t="s">
        <v>53</v>
      </c>
      <c r="K12" s="150">
        <v>15</v>
      </c>
      <c r="L12" s="151">
        <v>20240008169</v>
      </c>
      <c r="M12" s="152">
        <v>2778000</v>
      </c>
      <c r="N12" s="152">
        <v>2735955</v>
      </c>
      <c r="O12" s="154">
        <v>42045</v>
      </c>
      <c r="P12" s="155">
        <v>1944045</v>
      </c>
    </row>
    <row r="13" spans="3:16" x14ac:dyDescent="0.25">
      <c r="C13" s="166">
        <v>2719009</v>
      </c>
      <c r="D13" s="167" t="s">
        <v>90</v>
      </c>
      <c r="E13" s="168">
        <v>20240008169</v>
      </c>
      <c r="F13" s="169">
        <v>37500</v>
      </c>
      <c r="G13" s="169">
        <f>F13*10%</f>
        <v>3750</v>
      </c>
      <c r="H13" s="169">
        <f>G13*19%</f>
        <v>712.5</v>
      </c>
      <c r="I13" s="169">
        <f>F13+G13+H13</f>
        <v>41962.5</v>
      </c>
      <c r="K13" s="70">
        <v>16</v>
      </c>
      <c r="L13" s="151">
        <v>20240008170</v>
      </c>
      <c r="M13" s="152">
        <v>6289172</v>
      </c>
      <c r="N13" s="152">
        <v>4103808</v>
      </c>
      <c r="O13" s="154">
        <v>2185364</v>
      </c>
      <c r="P13" s="155">
        <v>14896192</v>
      </c>
    </row>
    <row r="14" spans="3:16" x14ac:dyDescent="0.25">
      <c r="C14" s="166">
        <v>2221101</v>
      </c>
      <c r="D14" s="167" t="s">
        <v>90</v>
      </c>
      <c r="E14" s="168">
        <v>20240008170</v>
      </c>
      <c r="F14" s="169">
        <v>1952300</v>
      </c>
      <c r="G14" s="169">
        <f t="shared" ref="G14:G16" si="0">F14*10%</f>
        <v>195230</v>
      </c>
      <c r="H14" s="169">
        <f>G14*19%</f>
        <v>37093.699999999997</v>
      </c>
      <c r="I14" s="169">
        <f t="shared" ref="I14:I16" si="1">F14+G14+H14</f>
        <v>2184623.7000000002</v>
      </c>
      <c r="K14" s="150">
        <v>17</v>
      </c>
      <c r="L14" s="151">
        <v>20240008171</v>
      </c>
      <c r="M14" s="152">
        <v>28360000</v>
      </c>
      <c r="N14" s="152">
        <v>7628528</v>
      </c>
      <c r="O14" s="154">
        <v>20731472</v>
      </c>
      <c r="P14" s="155">
        <v>30171472</v>
      </c>
    </row>
    <row r="15" spans="3:16" x14ac:dyDescent="0.25">
      <c r="C15" s="166">
        <v>2381301</v>
      </c>
      <c r="D15" s="167" t="s">
        <v>90</v>
      </c>
      <c r="E15" s="168">
        <v>20240008171</v>
      </c>
      <c r="F15" s="169">
        <v>2425500</v>
      </c>
      <c r="G15" s="169">
        <f t="shared" si="0"/>
        <v>242550</v>
      </c>
      <c r="H15" s="169">
        <f>G15*19%</f>
        <v>46084.5</v>
      </c>
      <c r="I15" s="169">
        <f t="shared" si="1"/>
        <v>2714134.5</v>
      </c>
      <c r="K15" s="70">
        <v>18</v>
      </c>
      <c r="L15" s="151">
        <v>20240008172</v>
      </c>
      <c r="M15" s="152">
        <v>2683367</v>
      </c>
      <c r="N15" s="152">
        <v>829084</v>
      </c>
      <c r="O15" s="154">
        <v>1854283</v>
      </c>
      <c r="P15" s="155">
        <v>10170916</v>
      </c>
    </row>
    <row r="16" spans="3:16" x14ac:dyDescent="0.25">
      <c r="C16" s="166">
        <v>2391102</v>
      </c>
      <c r="D16" s="167" t="s">
        <v>90</v>
      </c>
      <c r="E16" s="168">
        <v>20240008172</v>
      </c>
      <c r="F16" s="169">
        <v>1036518</v>
      </c>
      <c r="G16" s="169">
        <f t="shared" si="0"/>
        <v>103651.8</v>
      </c>
      <c r="H16" s="169">
        <f>G16*19%</f>
        <v>19693.842000000001</v>
      </c>
      <c r="I16" s="169">
        <f t="shared" si="1"/>
        <v>1159863.642</v>
      </c>
      <c r="K16" s="70"/>
      <c r="L16" s="70"/>
      <c r="M16" s="152"/>
      <c r="N16" s="152">
        <v>0</v>
      </c>
      <c r="O16" s="152">
        <v>0</v>
      </c>
      <c r="P16" s="71"/>
    </row>
    <row r="17" spans="3:16" x14ac:dyDescent="0.25">
      <c r="C17" s="170" t="s">
        <v>30</v>
      </c>
      <c r="D17" s="166"/>
      <c r="E17" s="166"/>
      <c r="F17" s="57">
        <f>SUM(F13:F16)</f>
        <v>5451818</v>
      </c>
      <c r="G17" s="169">
        <f>SUM(G13:G16)</f>
        <v>545181.80000000005</v>
      </c>
      <c r="H17" s="169">
        <f>SUM(H13:H16)</f>
        <v>103584.542</v>
      </c>
      <c r="I17" s="169">
        <f>SUM(I13:I16)</f>
        <v>6100584.3420000002</v>
      </c>
      <c r="K17" s="150">
        <v>339</v>
      </c>
      <c r="L17" s="153">
        <v>20240008173</v>
      </c>
      <c r="M17" s="152">
        <v>30773512</v>
      </c>
      <c r="N17" s="152">
        <v>8183445</v>
      </c>
      <c r="O17" s="154">
        <v>22590067</v>
      </c>
      <c r="P17" s="155">
        <v>93474509</v>
      </c>
    </row>
    <row r="18" spans="3:16" x14ac:dyDescent="0.25">
      <c r="C18" s="48"/>
      <c r="D18" s="48"/>
      <c r="E18" s="48"/>
      <c r="F18" s="48"/>
      <c r="G18" s="48"/>
      <c r="H18" s="48"/>
      <c r="I18" s="157"/>
      <c r="K18" s="70">
        <v>340</v>
      </c>
      <c r="L18" s="153">
        <v>20240008174</v>
      </c>
      <c r="M18" s="152">
        <v>5883000</v>
      </c>
      <c r="N18" s="152">
        <v>2747145</v>
      </c>
      <c r="O18" s="152">
        <v>3135855</v>
      </c>
      <c r="P18" s="156">
        <v>1174855</v>
      </c>
    </row>
    <row r="19" spans="3:16" x14ac:dyDescent="0.25">
      <c r="C19" s="48"/>
      <c r="D19" s="48"/>
      <c r="E19" s="48"/>
      <c r="F19" s="48"/>
      <c r="G19" s="48"/>
      <c r="H19" s="48"/>
      <c r="I19" s="157"/>
      <c r="K19" s="150">
        <v>341</v>
      </c>
      <c r="L19" s="153">
        <v>20240008175</v>
      </c>
      <c r="M19" s="152">
        <v>960000</v>
      </c>
      <c r="N19" s="152">
        <v>372045</v>
      </c>
      <c r="O19" s="152">
        <v>587955</v>
      </c>
      <c r="P19" s="156">
        <v>297955</v>
      </c>
    </row>
    <row r="20" spans="3:16" x14ac:dyDescent="0.25">
      <c r="C20" s="48" t="s">
        <v>54</v>
      </c>
      <c r="D20" s="48"/>
      <c r="E20" s="48" t="s">
        <v>96</v>
      </c>
      <c r="F20" s="48"/>
      <c r="G20" s="48"/>
      <c r="H20" s="48"/>
      <c r="I20" s="157"/>
      <c r="K20" s="70">
        <v>342</v>
      </c>
      <c r="L20" s="153">
        <v>20240008176</v>
      </c>
      <c r="M20" s="152">
        <v>6365241</v>
      </c>
      <c r="N20" s="152">
        <v>3388998</v>
      </c>
      <c r="O20" s="152">
        <v>2976243</v>
      </c>
      <c r="P20" s="156">
        <v>2221243</v>
      </c>
    </row>
    <row r="21" spans="3:16" x14ac:dyDescent="0.25">
      <c r="C21" s="48" t="s">
        <v>93</v>
      </c>
      <c r="D21" s="48"/>
      <c r="E21" s="48"/>
      <c r="F21" s="48"/>
      <c r="G21" s="48"/>
      <c r="H21" s="48"/>
      <c r="I21" s="157"/>
    </row>
    <row r="22" spans="3:16" x14ac:dyDescent="0.25">
      <c r="C22" s="158" t="s">
        <v>32</v>
      </c>
      <c r="D22" s="158" t="s">
        <v>48</v>
      </c>
      <c r="E22" s="158" t="s">
        <v>49</v>
      </c>
      <c r="F22" s="158" t="s">
        <v>50</v>
      </c>
      <c r="G22" s="158" t="s">
        <v>87</v>
      </c>
      <c r="H22" s="158" t="s">
        <v>52</v>
      </c>
      <c r="I22" s="159" t="s">
        <v>53</v>
      </c>
    </row>
    <row r="23" spans="3:16" x14ac:dyDescent="0.25">
      <c r="C23" s="171">
        <v>3212899</v>
      </c>
      <c r="D23" s="172" t="s">
        <v>89</v>
      </c>
      <c r="E23" s="173" t="s">
        <v>69</v>
      </c>
      <c r="F23" s="169">
        <f>200020+1590000</f>
        <v>1790020</v>
      </c>
      <c r="G23" s="57">
        <f>F23*10%</f>
        <v>179002</v>
      </c>
      <c r="H23" s="57">
        <f>G23*19%</f>
        <v>34010.379999999997</v>
      </c>
      <c r="I23" s="59">
        <f>F23+G23+H23</f>
        <v>2003032.38</v>
      </c>
    </row>
    <row r="24" spans="3:16" x14ac:dyDescent="0.25">
      <c r="C24" s="171">
        <v>3532212</v>
      </c>
      <c r="D24" s="172" t="s">
        <v>89</v>
      </c>
      <c r="E24" s="173" t="s">
        <v>70</v>
      </c>
      <c r="F24" s="169">
        <f>988115-100000-10000</f>
        <v>878115</v>
      </c>
      <c r="G24" s="57">
        <f t="shared" ref="G24:G26" si="2">F24*10%</f>
        <v>87811.5</v>
      </c>
      <c r="H24" s="57">
        <f t="shared" ref="H24:H26" si="3">G24*19%</f>
        <v>16684.185000000001</v>
      </c>
      <c r="I24" s="59">
        <f t="shared" ref="I24:I26" si="4">F24+G24+H24</f>
        <v>982610.68500000006</v>
      </c>
    </row>
    <row r="25" spans="3:16" x14ac:dyDescent="0.25">
      <c r="C25" s="171">
        <v>3212899</v>
      </c>
      <c r="D25" s="172" t="s">
        <v>89</v>
      </c>
      <c r="E25" s="173" t="s">
        <v>73</v>
      </c>
      <c r="F25" s="169">
        <f>2312480-1590000-590000</f>
        <v>132480</v>
      </c>
      <c r="G25" s="57">
        <f t="shared" si="2"/>
        <v>13248</v>
      </c>
      <c r="H25" s="57">
        <f>G25*19%</f>
        <v>2517.12</v>
      </c>
      <c r="I25" s="59">
        <f t="shared" si="4"/>
        <v>148245.12</v>
      </c>
      <c r="L25" s="45">
        <v>6100584</v>
      </c>
      <c r="N25" s="146">
        <f>I17-L25</f>
        <v>0.34200000017881393</v>
      </c>
    </row>
    <row r="26" spans="3:16" x14ac:dyDescent="0.25">
      <c r="C26" s="171">
        <v>3212899</v>
      </c>
      <c r="D26" s="172" t="s">
        <v>89</v>
      </c>
      <c r="E26" s="173" t="s">
        <v>75</v>
      </c>
      <c r="F26" s="169">
        <f>1023963</f>
        <v>1023963</v>
      </c>
      <c r="G26" s="57">
        <f t="shared" si="2"/>
        <v>102396.3</v>
      </c>
      <c r="H26" s="57">
        <f t="shared" si="3"/>
        <v>19455.297000000002</v>
      </c>
      <c r="I26" s="59">
        <f t="shared" si="4"/>
        <v>1145814.5970000001</v>
      </c>
      <c r="L26" s="45">
        <v>4281400</v>
      </c>
    </row>
    <row r="27" spans="3:16" x14ac:dyDescent="0.25">
      <c r="C27" s="170" t="s">
        <v>30</v>
      </c>
      <c r="D27" s="172"/>
      <c r="E27" s="173"/>
      <c r="F27" s="169">
        <f>SUM(F23:F26)</f>
        <v>3824578</v>
      </c>
      <c r="G27" s="57">
        <f>SUM(G23:G26)</f>
        <v>382457.8</v>
      </c>
      <c r="H27" s="57">
        <f>SUM(H23:H26)</f>
        <v>72666.982000000004</v>
      </c>
      <c r="I27" s="59">
        <f>SUM(I23:I26)</f>
        <v>4279702.7819999997</v>
      </c>
      <c r="L27" s="45"/>
    </row>
    <row r="29" spans="3:16" x14ac:dyDescent="0.25">
      <c r="I29" s="44">
        <f>I17+I27</f>
        <v>10380287.124</v>
      </c>
      <c r="L29" s="143">
        <v>10204035.52</v>
      </c>
    </row>
    <row r="30" spans="3:16" x14ac:dyDescent="0.25">
      <c r="I30" s="44">
        <f>10380287</f>
        <v>10380287</v>
      </c>
      <c r="L30" s="143">
        <v>176251.48</v>
      </c>
    </row>
    <row r="31" spans="3:16" x14ac:dyDescent="0.25">
      <c r="I31" s="44">
        <f>I29-I30</f>
        <v>0.12399999983608723</v>
      </c>
      <c r="L31" s="146">
        <f>L29+L30</f>
        <v>10380287</v>
      </c>
    </row>
  </sheetData>
  <mergeCells count="2">
    <mergeCell ref="C5:C6"/>
    <mergeCell ref="D5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D3F0-C65A-4ABA-A00D-C81C7718EA18}">
  <dimension ref="C3:R32"/>
  <sheetViews>
    <sheetView topLeftCell="A14" workbookViewId="0">
      <selection activeCell="E13" sqref="E13:E16"/>
    </sheetView>
  </sheetViews>
  <sheetFormatPr baseColWidth="10" defaultRowHeight="15" x14ac:dyDescent="0.25"/>
  <cols>
    <col min="3" max="3" width="11.5703125" bestFit="1" customWidth="1"/>
    <col min="4" max="4" width="13.85546875" customWidth="1"/>
    <col min="5" max="5" width="12.85546875" customWidth="1"/>
    <col min="6" max="6" width="12.7109375" customWidth="1"/>
    <col min="7" max="7" width="12.5703125" customWidth="1"/>
    <col min="8" max="8" width="12.140625" customWidth="1"/>
    <col min="9" max="9" width="15.5703125" bestFit="1" customWidth="1"/>
    <col min="11" max="11" width="15.5703125" bestFit="1" customWidth="1"/>
    <col min="12" max="12" width="14.85546875" customWidth="1"/>
    <col min="15" max="15" width="14.5703125" bestFit="1" customWidth="1"/>
    <col min="16" max="16" width="16.7109375" bestFit="1" customWidth="1"/>
    <col min="17" max="18" width="14.5703125" bestFit="1" customWidth="1"/>
  </cols>
  <sheetData>
    <row r="3" spans="3:18" x14ac:dyDescent="0.25">
      <c r="C3" t="s">
        <v>55</v>
      </c>
    </row>
    <row r="4" spans="3:18" ht="30" x14ac:dyDescent="0.25">
      <c r="C4" s="122" t="s">
        <v>32</v>
      </c>
      <c r="D4" s="122" t="s">
        <v>48</v>
      </c>
      <c r="E4" s="122" t="s">
        <v>49</v>
      </c>
      <c r="F4" s="122" t="s">
        <v>50</v>
      </c>
      <c r="G4" s="122" t="s">
        <v>51</v>
      </c>
      <c r="H4" s="122" t="s">
        <v>52</v>
      </c>
      <c r="I4" s="122" t="s">
        <v>53</v>
      </c>
      <c r="K4" s="45"/>
    </row>
    <row r="5" spans="3:18" x14ac:dyDescent="0.25">
      <c r="C5" s="257">
        <v>85330</v>
      </c>
      <c r="D5" s="258" t="s">
        <v>38</v>
      </c>
      <c r="E5" s="123">
        <v>20240008168</v>
      </c>
      <c r="F5" s="140">
        <v>36305490</v>
      </c>
      <c r="G5" s="123"/>
      <c r="H5" s="140">
        <v>627095</v>
      </c>
      <c r="I5" s="140">
        <v>36932585</v>
      </c>
      <c r="K5" s="45">
        <v>277886673</v>
      </c>
    </row>
    <row r="6" spans="3:18" x14ac:dyDescent="0.25">
      <c r="C6" s="257"/>
      <c r="D6" s="258"/>
      <c r="E6" s="123"/>
      <c r="F6" s="140"/>
      <c r="G6" s="123"/>
      <c r="H6" s="140"/>
      <c r="I6" s="140"/>
    </row>
    <row r="7" spans="3:18" x14ac:dyDescent="0.25">
      <c r="C7" s="124" t="s">
        <v>30</v>
      </c>
      <c r="D7" s="122"/>
      <c r="E7" s="123"/>
      <c r="F7" s="123"/>
      <c r="G7" s="123"/>
      <c r="H7" s="123"/>
      <c r="I7" s="125">
        <f>F5+H5</f>
        <v>36932585</v>
      </c>
      <c r="J7" s="126"/>
    </row>
    <row r="10" spans="3:18" x14ac:dyDescent="0.25">
      <c r="C10" t="s">
        <v>47</v>
      </c>
      <c r="E10" t="s">
        <v>91</v>
      </c>
    </row>
    <row r="11" spans="3:18" x14ac:dyDescent="0.25">
      <c r="C11" t="s">
        <v>92</v>
      </c>
    </row>
    <row r="12" spans="3:18" ht="18" x14ac:dyDescent="0.25">
      <c r="C12" s="121" t="s">
        <v>32</v>
      </c>
      <c r="D12" s="121" t="s">
        <v>48</v>
      </c>
      <c r="E12" s="121" t="s">
        <v>49</v>
      </c>
      <c r="F12" s="121" t="s">
        <v>50</v>
      </c>
      <c r="G12" s="121" t="s">
        <v>87</v>
      </c>
      <c r="H12" s="121" t="s">
        <v>88</v>
      </c>
      <c r="I12" s="121" t="s">
        <v>53</v>
      </c>
      <c r="K12" s="145" t="s">
        <v>94</v>
      </c>
    </row>
    <row r="13" spans="3:18" ht="26.25" x14ac:dyDescent="0.25">
      <c r="C13" s="129">
        <v>2719009</v>
      </c>
      <c r="D13" s="107" t="s">
        <v>90</v>
      </c>
      <c r="E13" s="75">
        <v>20240008169</v>
      </c>
      <c r="F13" s="71">
        <f>2480000-235000-150000</f>
        <v>2095000</v>
      </c>
      <c r="G13" s="71">
        <f>F13*10%</f>
        <v>209500</v>
      </c>
      <c r="H13" s="71">
        <f>G13*19%</f>
        <v>39805</v>
      </c>
      <c r="I13" s="147">
        <f>F13+G13+H13</f>
        <v>2344305</v>
      </c>
      <c r="K13" s="45">
        <v>2353998</v>
      </c>
      <c r="L13" s="144">
        <f>K13-I13</f>
        <v>9693</v>
      </c>
      <c r="R13" s="143">
        <v>2344305</v>
      </c>
    </row>
    <row r="14" spans="3:18" ht="26.25" x14ac:dyDescent="0.25">
      <c r="C14" s="129">
        <v>2221101</v>
      </c>
      <c r="D14" s="107" t="s">
        <v>90</v>
      </c>
      <c r="E14" s="75">
        <v>20240008170</v>
      </c>
      <c r="F14" s="71">
        <f>1683888+150000</f>
        <v>1833888</v>
      </c>
      <c r="G14" s="71">
        <f t="shared" ref="G14:G16" si="0">F14*10%</f>
        <v>183388.80000000002</v>
      </c>
      <c r="H14" s="71">
        <f>G14*19%</f>
        <v>34843.872000000003</v>
      </c>
      <c r="I14" s="147">
        <f t="shared" ref="I14:I16" si="1">F14+G14+H14</f>
        <v>2052120.672</v>
      </c>
      <c r="K14" s="45">
        <v>6289172</v>
      </c>
      <c r="L14" s="44">
        <f>K14-I14+121017</f>
        <v>4358068.3279999997</v>
      </c>
      <c r="M14">
        <v>1121016.7439999999</v>
      </c>
      <c r="N14">
        <v>760378</v>
      </c>
      <c r="O14">
        <f>SUM(M14:N14)</f>
        <v>1881394.7439999999</v>
      </c>
      <c r="P14" s="44">
        <f>O14-I14</f>
        <v>-170725.92800000007</v>
      </c>
      <c r="R14" s="143">
        <v>2052121</v>
      </c>
    </row>
    <row r="15" spans="3:18" ht="26.25" x14ac:dyDescent="0.25">
      <c r="C15" s="129">
        <v>2381301</v>
      </c>
      <c r="D15" s="107" t="s">
        <v>90</v>
      </c>
      <c r="E15" s="75">
        <v>20240008171</v>
      </c>
      <c r="F15" s="71">
        <f>917015+235000</f>
        <v>1152015</v>
      </c>
      <c r="G15" s="71">
        <f t="shared" si="0"/>
        <v>115201.5</v>
      </c>
      <c r="H15" s="71">
        <f>G15*19%</f>
        <v>21888.285</v>
      </c>
      <c r="I15" s="147">
        <f t="shared" si="1"/>
        <v>1289104.7849999999</v>
      </c>
      <c r="K15" s="45">
        <v>12459650</v>
      </c>
      <c r="L15" s="44">
        <f t="shared" ref="L15:L28" si="2">K15-I15</f>
        <v>11170545.215</v>
      </c>
      <c r="R15" s="143">
        <v>1289105</v>
      </c>
    </row>
    <row r="16" spans="3:18" ht="16.5" customHeight="1" x14ac:dyDescent="0.25">
      <c r="C16" s="129">
        <v>2391102</v>
      </c>
      <c r="D16" s="107" t="s">
        <v>90</v>
      </c>
      <c r="E16" s="75">
        <v>20240008172</v>
      </c>
      <c r="F16" s="71">
        <v>370915</v>
      </c>
      <c r="G16" s="71">
        <f t="shared" si="0"/>
        <v>37091.5</v>
      </c>
      <c r="H16" s="71">
        <f>G16*19%</f>
        <v>7047.3850000000002</v>
      </c>
      <c r="I16" s="147">
        <f t="shared" si="1"/>
        <v>415053.88500000001</v>
      </c>
      <c r="K16" s="45">
        <v>6383427</v>
      </c>
      <c r="L16" s="44">
        <f t="shared" si="2"/>
        <v>5968373.1150000002</v>
      </c>
      <c r="R16" s="143">
        <v>415054</v>
      </c>
    </row>
    <row r="17" spans="3:18" x14ac:dyDescent="0.25">
      <c r="C17" s="69" t="s">
        <v>30</v>
      </c>
      <c r="D17" s="70"/>
      <c r="E17" s="70"/>
      <c r="F17" s="63">
        <f>SUM(F13:F16)</f>
        <v>5451818</v>
      </c>
      <c r="G17" s="71">
        <f>SUM(G13:G16)</f>
        <v>545181.80000000005</v>
      </c>
      <c r="H17" s="71">
        <f>SUM(H13:H16)</f>
        <v>103584.542</v>
      </c>
      <c r="I17" s="148">
        <f>SUM(I13:I16)</f>
        <v>6100584.3420000002</v>
      </c>
      <c r="K17" s="45"/>
      <c r="L17" s="44"/>
      <c r="R17" s="146">
        <f>SUM(R13:R16)</f>
        <v>6100585</v>
      </c>
    </row>
    <row r="18" spans="3:18" x14ac:dyDescent="0.25">
      <c r="K18" s="45"/>
      <c r="L18" s="44"/>
    </row>
    <row r="19" spans="3:18" x14ac:dyDescent="0.25">
      <c r="K19" s="45"/>
      <c r="L19" s="44"/>
    </row>
    <row r="20" spans="3:18" x14ac:dyDescent="0.25">
      <c r="K20" s="45"/>
      <c r="L20" s="44"/>
    </row>
    <row r="21" spans="3:18" x14ac:dyDescent="0.25">
      <c r="K21" s="45"/>
      <c r="L21" s="44"/>
    </row>
    <row r="22" spans="3:18" x14ac:dyDescent="0.25">
      <c r="C22" t="s">
        <v>54</v>
      </c>
      <c r="E22" t="s">
        <v>91</v>
      </c>
      <c r="K22" s="45"/>
      <c r="L22" s="44"/>
    </row>
    <row r="23" spans="3:18" x14ac:dyDescent="0.25">
      <c r="C23" t="s">
        <v>93</v>
      </c>
      <c r="K23" s="45"/>
      <c r="L23" s="44"/>
    </row>
    <row r="24" spans="3:18" ht="18" x14ac:dyDescent="0.25">
      <c r="C24" s="121" t="s">
        <v>32</v>
      </c>
      <c r="D24" s="121" t="s">
        <v>48</v>
      </c>
      <c r="E24" s="121" t="s">
        <v>49</v>
      </c>
      <c r="F24" s="121" t="s">
        <v>50</v>
      </c>
      <c r="G24" s="121" t="s">
        <v>87</v>
      </c>
      <c r="H24" s="121" t="s">
        <v>52</v>
      </c>
      <c r="I24" s="121" t="s">
        <v>53</v>
      </c>
      <c r="K24" s="45"/>
      <c r="L24" s="44"/>
    </row>
    <row r="25" spans="3:18" ht="24" customHeight="1" x14ac:dyDescent="0.25">
      <c r="C25" s="138">
        <v>3212899</v>
      </c>
      <c r="D25" s="104" t="s">
        <v>89</v>
      </c>
      <c r="E25" s="106" t="s">
        <v>69</v>
      </c>
      <c r="F25" s="71">
        <f>200020+1590000</f>
        <v>1790020</v>
      </c>
      <c r="G25" s="63">
        <f>F25*10%</f>
        <v>179002</v>
      </c>
      <c r="H25" s="63">
        <f>G25*19%</f>
        <v>34010.379999999997</v>
      </c>
      <c r="I25" s="149">
        <f>F25+G25+H25</f>
        <v>2003032.38</v>
      </c>
      <c r="K25" s="45">
        <v>26546130</v>
      </c>
      <c r="L25" s="44">
        <f t="shared" si="2"/>
        <v>24543097.620000001</v>
      </c>
      <c r="N25">
        <v>1627665</v>
      </c>
      <c r="O25" s="143">
        <v>223822.38</v>
      </c>
      <c r="P25" s="143">
        <f>SUM(N25:O25)</f>
        <v>1851487.38</v>
      </c>
      <c r="Q25" s="146">
        <f>P25-I25</f>
        <v>-151545</v>
      </c>
      <c r="R25" s="143">
        <v>2003032</v>
      </c>
    </row>
    <row r="26" spans="3:18" ht="24" customHeight="1" x14ac:dyDescent="0.25">
      <c r="C26" s="138">
        <v>3532212</v>
      </c>
      <c r="D26" s="104" t="s">
        <v>89</v>
      </c>
      <c r="E26" s="106" t="s">
        <v>70</v>
      </c>
      <c r="F26" s="71">
        <f>988115-100000-10000</f>
        <v>878115</v>
      </c>
      <c r="G26" s="63">
        <f t="shared" ref="G26:G28" si="3">F26*10%</f>
        <v>87811.5</v>
      </c>
      <c r="H26" s="63">
        <f t="shared" ref="H26:H28" si="4">G26*19%</f>
        <v>16684.185000000001</v>
      </c>
      <c r="I26" s="149">
        <f t="shared" ref="I26:I28" si="5">F26+G26+H26</f>
        <v>982610.68500000006</v>
      </c>
      <c r="K26" s="45">
        <v>980500</v>
      </c>
      <c r="L26" s="44">
        <f t="shared" si="2"/>
        <v>-2110.6850000000559</v>
      </c>
      <c r="O26" s="143">
        <v>1105700.6850000001</v>
      </c>
      <c r="R26" s="143">
        <v>982611</v>
      </c>
    </row>
    <row r="27" spans="3:18" ht="24" customHeight="1" x14ac:dyDescent="0.25">
      <c r="C27" s="138">
        <v>3212899</v>
      </c>
      <c r="D27" s="104" t="s">
        <v>89</v>
      </c>
      <c r="E27" s="106" t="s">
        <v>73</v>
      </c>
      <c r="F27" s="71">
        <f>2312480-1590000-590000</f>
        <v>132480</v>
      </c>
      <c r="G27" s="63">
        <f t="shared" si="3"/>
        <v>13248</v>
      </c>
      <c r="H27" s="63">
        <f>G27*19%</f>
        <v>2517.12</v>
      </c>
      <c r="I27" s="149">
        <f t="shared" si="5"/>
        <v>148245.12</v>
      </c>
      <c r="K27" s="45">
        <v>190900</v>
      </c>
      <c r="L27" s="144">
        <f t="shared" si="2"/>
        <v>42654.880000000005</v>
      </c>
      <c r="O27" s="143">
        <v>2587665.12</v>
      </c>
      <c r="R27" s="143">
        <v>148245</v>
      </c>
    </row>
    <row r="28" spans="3:18" ht="26.25" customHeight="1" x14ac:dyDescent="0.25">
      <c r="C28" s="138">
        <v>3212899</v>
      </c>
      <c r="D28" s="104" t="s">
        <v>89</v>
      </c>
      <c r="E28" s="106" t="s">
        <v>75</v>
      </c>
      <c r="F28" s="71">
        <f>325480+100000+600000</f>
        <v>1025480</v>
      </c>
      <c r="G28" s="63">
        <f t="shared" si="3"/>
        <v>102548</v>
      </c>
      <c r="H28" s="63">
        <f t="shared" si="4"/>
        <v>19484.12</v>
      </c>
      <c r="I28" s="149">
        <f t="shared" si="5"/>
        <v>1147512.1200000001</v>
      </c>
      <c r="K28" s="45">
        <v>6365241</v>
      </c>
      <c r="L28" s="44">
        <f t="shared" si="2"/>
        <v>5217728.88</v>
      </c>
      <c r="O28" s="143">
        <v>364212.12</v>
      </c>
      <c r="R28" s="143">
        <v>1147512</v>
      </c>
    </row>
    <row r="29" spans="3:18" ht="18" customHeight="1" x14ac:dyDescent="0.25">
      <c r="C29" s="69" t="s">
        <v>30</v>
      </c>
      <c r="D29" s="104"/>
      <c r="E29" s="106"/>
      <c r="F29" s="71">
        <f>SUM(F25:F28)</f>
        <v>3826095</v>
      </c>
      <c r="G29" s="63">
        <f>SUM(G25:G28)</f>
        <v>382609.5</v>
      </c>
      <c r="H29" s="63">
        <f>SUM(H25:H28)</f>
        <v>72695.805000000008</v>
      </c>
      <c r="I29" s="149">
        <f>SUM(I25:I28)</f>
        <v>4281400.3049999997</v>
      </c>
      <c r="K29" s="45"/>
      <c r="L29" s="144"/>
      <c r="R29" s="146">
        <f>SUM(R25:R28)</f>
        <v>4281400</v>
      </c>
    </row>
    <row r="30" spans="3:18" x14ac:dyDescent="0.25">
      <c r="D30" s="70"/>
      <c r="E30" s="70"/>
      <c r="F30" s="63"/>
      <c r="G30" s="71"/>
      <c r="H30" s="71"/>
      <c r="I30" s="71"/>
    </row>
    <row r="32" spans="3:18" x14ac:dyDescent="0.25">
      <c r="I32" s="146">
        <f>SUM(I17,I29)</f>
        <v>10381984.647</v>
      </c>
    </row>
  </sheetData>
  <mergeCells count="2">
    <mergeCell ref="C5:C6"/>
    <mergeCell ref="D5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D36D-EB21-4035-8232-CF83A804A4DB}">
  <dimension ref="E2:H30"/>
  <sheetViews>
    <sheetView workbookViewId="0">
      <selection activeCell="E3" sqref="E3:G3"/>
    </sheetView>
  </sheetViews>
  <sheetFormatPr baseColWidth="10" defaultRowHeight="15" x14ac:dyDescent="0.25"/>
  <cols>
    <col min="5" max="5" width="14.85546875" customWidth="1"/>
    <col min="6" max="6" width="20.85546875" customWidth="1"/>
    <col min="7" max="7" width="16.7109375" bestFit="1" customWidth="1"/>
    <col min="8" max="8" width="14.5703125" bestFit="1" customWidth="1"/>
  </cols>
  <sheetData>
    <row r="2" spans="5:7" x14ac:dyDescent="0.25">
      <c r="E2" t="s">
        <v>80</v>
      </c>
      <c r="F2" t="s">
        <v>49</v>
      </c>
      <c r="G2" t="s">
        <v>21</v>
      </c>
    </row>
    <row r="3" spans="5:7" x14ac:dyDescent="0.25">
      <c r="E3" s="81">
        <v>20240000288</v>
      </c>
      <c r="F3" s="81">
        <v>20240008168</v>
      </c>
      <c r="G3" s="63">
        <v>295461872</v>
      </c>
    </row>
    <row r="4" spans="5:7" x14ac:dyDescent="0.25">
      <c r="E4" s="75">
        <v>20240000289</v>
      </c>
      <c r="F4" s="75">
        <v>20240008169</v>
      </c>
      <c r="G4" s="63">
        <v>2778000</v>
      </c>
    </row>
    <row r="5" spans="5:7" x14ac:dyDescent="0.25">
      <c r="E5" s="75">
        <v>20240000290</v>
      </c>
      <c r="F5" s="75">
        <v>20240008170</v>
      </c>
      <c r="G5" s="63">
        <v>6289172</v>
      </c>
    </row>
    <row r="6" spans="5:7" x14ac:dyDescent="0.25">
      <c r="E6" s="70">
        <v>20240000291</v>
      </c>
      <c r="F6" s="75">
        <v>20240008171</v>
      </c>
      <c r="G6" s="63">
        <v>28360000</v>
      </c>
    </row>
    <row r="7" spans="5:7" x14ac:dyDescent="0.25">
      <c r="E7" s="109">
        <v>20240000292</v>
      </c>
      <c r="F7" s="75">
        <v>20240008172</v>
      </c>
      <c r="G7" s="63">
        <v>2683367</v>
      </c>
    </row>
    <row r="8" spans="5:7" x14ac:dyDescent="0.25">
      <c r="E8" s="106" t="s">
        <v>68</v>
      </c>
      <c r="F8" s="106" t="s">
        <v>69</v>
      </c>
      <c r="G8" s="63">
        <v>30773512</v>
      </c>
    </row>
    <row r="9" spans="5:7" x14ac:dyDescent="0.25">
      <c r="E9" s="106" t="s">
        <v>71</v>
      </c>
      <c r="F9" s="106" t="s">
        <v>70</v>
      </c>
      <c r="G9" s="63">
        <v>5883000</v>
      </c>
    </row>
    <row r="10" spans="5:7" x14ac:dyDescent="0.25">
      <c r="E10" s="106" t="s">
        <v>72</v>
      </c>
      <c r="F10" s="106" t="s">
        <v>73</v>
      </c>
      <c r="G10" s="63">
        <v>960000</v>
      </c>
    </row>
    <row r="11" spans="5:7" x14ac:dyDescent="0.25">
      <c r="E11" s="106" t="s">
        <v>74</v>
      </c>
      <c r="F11" s="106" t="s">
        <v>75</v>
      </c>
      <c r="G11" s="63">
        <v>6365241</v>
      </c>
    </row>
    <row r="12" spans="5:7" x14ac:dyDescent="0.25">
      <c r="E12" s="106" t="s">
        <v>76</v>
      </c>
      <c r="F12" s="106" t="s">
        <v>77</v>
      </c>
      <c r="G12" s="63">
        <v>540000</v>
      </c>
    </row>
    <row r="13" spans="5:7" x14ac:dyDescent="0.25">
      <c r="G13" s="44">
        <f>SUM(G3:G12)</f>
        <v>380094164</v>
      </c>
    </row>
    <row r="30" spans="8:8" x14ac:dyDescent="0.25">
      <c r="H30" s="45">
        <f>485000+3250000+1400000+758000+900000+400000+150000+610000+150000+200000+380000+150000+250000</f>
        <v>9083000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C2AF9-E725-4CA6-9A52-6040AD934A41}">
  <dimension ref="C4:AA159"/>
  <sheetViews>
    <sheetView topLeftCell="A145" workbookViewId="0">
      <selection activeCell="K163" sqref="K163"/>
    </sheetView>
  </sheetViews>
  <sheetFormatPr baseColWidth="10" defaultRowHeight="15" x14ac:dyDescent="0.25"/>
  <cols>
    <col min="4" max="4" width="17.28515625" customWidth="1"/>
    <col min="5" max="5" width="18" customWidth="1"/>
    <col min="6" max="6" width="13.140625" customWidth="1"/>
    <col min="7" max="7" width="15.140625" customWidth="1"/>
    <col min="8" max="8" width="15" customWidth="1"/>
    <col min="9" max="9" width="14.28515625" customWidth="1"/>
    <col min="10" max="10" width="13.42578125" customWidth="1"/>
    <col min="11" max="11" width="17.7109375" customWidth="1"/>
    <col min="12" max="14" width="15.42578125" customWidth="1"/>
    <col min="15" max="15" width="15.5703125" bestFit="1" customWidth="1"/>
    <col min="16" max="16" width="13.7109375" customWidth="1"/>
    <col min="17" max="17" width="14.7109375" customWidth="1"/>
    <col min="18" max="18" width="15.140625" customWidth="1"/>
    <col min="19" max="20" width="15.7109375" customWidth="1"/>
    <col min="21" max="21" width="12.85546875" customWidth="1"/>
    <col min="22" max="23" width="15.7109375" customWidth="1"/>
    <col min="25" max="25" width="21" customWidth="1"/>
    <col min="26" max="26" width="15.140625" customWidth="1"/>
    <col min="27" max="27" width="14.5703125" bestFit="1" customWidth="1"/>
  </cols>
  <sheetData>
    <row r="4" spans="3:18" x14ac:dyDescent="0.25">
      <c r="C4" t="s">
        <v>47</v>
      </c>
      <c r="E4" t="s">
        <v>91</v>
      </c>
    </row>
    <row r="5" spans="3:18" x14ac:dyDescent="0.25">
      <c r="C5" t="s">
        <v>92</v>
      </c>
    </row>
    <row r="6" spans="3:18" ht="18" x14ac:dyDescent="0.25">
      <c r="C6" s="121" t="s">
        <v>32</v>
      </c>
      <c r="D6" s="121" t="s">
        <v>48</v>
      </c>
      <c r="E6" s="121" t="s">
        <v>49</v>
      </c>
      <c r="F6" s="121" t="s">
        <v>50</v>
      </c>
      <c r="G6" s="121" t="s">
        <v>87</v>
      </c>
      <c r="H6" s="121" t="s">
        <v>88</v>
      </c>
      <c r="I6" s="121" t="s">
        <v>53</v>
      </c>
    </row>
    <row r="7" spans="3:18" ht="26.25" x14ac:dyDescent="0.25">
      <c r="C7" s="129">
        <v>2719009</v>
      </c>
      <c r="D7" s="107" t="s">
        <v>90</v>
      </c>
      <c r="E7" s="75">
        <v>20240008169</v>
      </c>
      <c r="F7" s="71">
        <f>2480000-235000-150000</f>
        <v>2095000</v>
      </c>
      <c r="G7" s="71">
        <f>F7*10%</f>
        <v>209500</v>
      </c>
      <c r="H7" s="71">
        <f>G7*19%</f>
        <v>39805</v>
      </c>
      <c r="I7" s="147">
        <f>F7+G7+H7</f>
        <v>2344305</v>
      </c>
    </row>
    <row r="8" spans="3:18" ht="26.25" x14ac:dyDescent="0.25">
      <c r="C8" s="129">
        <v>2221101</v>
      </c>
      <c r="D8" s="107" t="s">
        <v>90</v>
      </c>
      <c r="E8" s="75">
        <v>20240008170</v>
      </c>
      <c r="F8" s="71">
        <f>1683888+150000</f>
        <v>1833888</v>
      </c>
      <c r="G8" s="71">
        <f t="shared" ref="G8:G10" si="0">F8*10%</f>
        <v>183388.80000000002</v>
      </c>
      <c r="H8" s="71">
        <f>G8*19%</f>
        <v>34843.872000000003</v>
      </c>
      <c r="I8" s="147">
        <f t="shared" ref="I8:I10" si="1">F8+G8+H8</f>
        <v>2052120.672</v>
      </c>
    </row>
    <row r="9" spans="3:18" ht="26.25" x14ac:dyDescent="0.25">
      <c r="C9" s="129">
        <v>2381301</v>
      </c>
      <c r="D9" s="107" t="s">
        <v>90</v>
      </c>
      <c r="E9" s="75">
        <v>20240008171</v>
      </c>
      <c r="F9" s="71">
        <f>917015+235000</f>
        <v>1152015</v>
      </c>
      <c r="G9" s="71">
        <f t="shared" si="0"/>
        <v>115201.5</v>
      </c>
      <c r="H9" s="71">
        <f>G9*19%</f>
        <v>21888.285</v>
      </c>
      <c r="I9" s="147">
        <f t="shared" si="1"/>
        <v>1289104.7849999999</v>
      </c>
    </row>
    <row r="10" spans="3:18" ht="26.25" x14ac:dyDescent="0.25">
      <c r="C10" s="129">
        <v>2391102</v>
      </c>
      <c r="D10" s="107" t="s">
        <v>90</v>
      </c>
      <c r="E10" s="75">
        <v>20240008172</v>
      </c>
      <c r="F10" s="71">
        <v>370915</v>
      </c>
      <c r="G10" s="71">
        <f t="shared" si="0"/>
        <v>37091.5</v>
      </c>
      <c r="H10" s="71">
        <f>G10*19%</f>
        <v>7047.3850000000002</v>
      </c>
      <c r="I10" s="147">
        <f t="shared" si="1"/>
        <v>415053.88500000001</v>
      </c>
    </row>
    <row r="11" spans="3:18" x14ac:dyDescent="0.25">
      <c r="C11" s="69" t="s">
        <v>30</v>
      </c>
      <c r="D11" s="70"/>
      <c r="E11" s="70"/>
      <c r="F11" s="63">
        <f>SUM(F7:F10)</f>
        <v>5451818</v>
      </c>
      <c r="G11" s="71">
        <f>SUM(G7:G10)</f>
        <v>545181.80000000005</v>
      </c>
      <c r="H11" s="71">
        <f>SUM(H7:H10)</f>
        <v>103584.542</v>
      </c>
      <c r="I11" s="148">
        <f>SUM(I7:I10)</f>
        <v>6100584.3420000002</v>
      </c>
    </row>
    <row r="15" spans="3:18" x14ac:dyDescent="0.25">
      <c r="K15" t="s">
        <v>97</v>
      </c>
      <c r="L15" s="70" t="s">
        <v>98</v>
      </c>
      <c r="M15" s="70"/>
      <c r="N15" s="70"/>
      <c r="O15" s="70" t="s">
        <v>99</v>
      </c>
      <c r="P15" s="70" t="s">
        <v>100</v>
      </c>
      <c r="Q15" s="70" t="s">
        <v>101</v>
      </c>
      <c r="R15" s="70" t="s">
        <v>102</v>
      </c>
    </row>
    <row r="16" spans="3:18" x14ac:dyDescent="0.25">
      <c r="C16" t="s">
        <v>54</v>
      </c>
      <c r="E16" t="s">
        <v>91</v>
      </c>
      <c r="K16" s="150">
        <v>15</v>
      </c>
      <c r="L16" s="151">
        <v>20240008169</v>
      </c>
      <c r="M16" s="151"/>
      <c r="N16" s="151"/>
      <c r="O16" s="152">
        <v>2778000</v>
      </c>
      <c r="P16" s="152">
        <v>2735955</v>
      </c>
      <c r="Q16" s="152">
        <v>42045</v>
      </c>
      <c r="R16" s="174">
        <v>1944045</v>
      </c>
    </row>
    <row r="17" spans="3:23" x14ac:dyDescent="0.25">
      <c r="C17" t="s">
        <v>93</v>
      </c>
      <c r="K17" s="70">
        <v>16</v>
      </c>
      <c r="L17" s="151">
        <v>20240008170</v>
      </c>
      <c r="M17" s="151"/>
      <c r="N17" s="151"/>
      <c r="O17" s="152">
        <v>6289172</v>
      </c>
      <c r="P17" s="152">
        <v>4103808</v>
      </c>
      <c r="Q17" s="152">
        <v>2185364</v>
      </c>
      <c r="R17" s="174">
        <v>14896192</v>
      </c>
    </row>
    <row r="18" spans="3:23" ht="18" x14ac:dyDescent="0.25">
      <c r="C18" s="121" t="s">
        <v>32</v>
      </c>
      <c r="D18" s="121" t="s">
        <v>48</v>
      </c>
      <c r="E18" s="121" t="s">
        <v>49</v>
      </c>
      <c r="F18" s="121" t="s">
        <v>50</v>
      </c>
      <c r="G18" s="121" t="s">
        <v>87</v>
      </c>
      <c r="H18" s="121" t="s">
        <v>52</v>
      </c>
      <c r="I18" s="121" t="s">
        <v>53</v>
      </c>
      <c r="K18" s="150">
        <v>17</v>
      </c>
      <c r="L18" s="151">
        <v>20240008171</v>
      </c>
      <c r="M18" s="151"/>
      <c r="N18" s="151"/>
      <c r="O18" s="152">
        <v>28360000</v>
      </c>
      <c r="P18" s="152">
        <v>7628528</v>
      </c>
      <c r="Q18" s="152">
        <v>20731472</v>
      </c>
      <c r="R18" s="174">
        <v>30171472</v>
      </c>
    </row>
    <row r="19" spans="3:23" x14ac:dyDescent="0.25">
      <c r="C19" s="138">
        <v>3212899</v>
      </c>
      <c r="D19" s="104" t="s">
        <v>89</v>
      </c>
      <c r="E19" s="106" t="s">
        <v>69</v>
      </c>
      <c r="F19" s="71">
        <f>200020+1590000</f>
        <v>1790020</v>
      </c>
      <c r="G19" s="63">
        <f>F19*10%</f>
        <v>179002</v>
      </c>
      <c r="H19" s="63">
        <f>G19*19%</f>
        <v>34010.379999999997</v>
      </c>
      <c r="I19" s="149">
        <f>F19+G19+H19</f>
        <v>2003032.38</v>
      </c>
      <c r="K19" s="70">
        <v>18</v>
      </c>
      <c r="L19" s="151">
        <v>20240008172</v>
      </c>
      <c r="M19" s="151"/>
      <c r="N19" s="151"/>
      <c r="O19" s="152">
        <v>2683367</v>
      </c>
      <c r="P19" s="152">
        <v>829084</v>
      </c>
      <c r="Q19" s="152">
        <v>1854283</v>
      </c>
      <c r="R19" s="174">
        <v>10170916</v>
      </c>
    </row>
    <row r="20" spans="3:23" x14ac:dyDescent="0.25">
      <c r="C20" s="138">
        <v>3532212</v>
      </c>
      <c r="D20" s="104" t="s">
        <v>89</v>
      </c>
      <c r="E20" s="106" t="s">
        <v>70</v>
      </c>
      <c r="F20" s="71">
        <f>988115-100000-10000</f>
        <v>878115</v>
      </c>
      <c r="G20" s="63">
        <f t="shared" ref="G20:G22" si="2">F20*10%</f>
        <v>87811.5</v>
      </c>
      <c r="H20" s="63">
        <f t="shared" ref="H20:H22" si="3">G20*19%</f>
        <v>16684.185000000001</v>
      </c>
      <c r="I20" s="149">
        <f t="shared" ref="I20:I22" si="4">F20+G20+H20</f>
        <v>982610.68500000006</v>
      </c>
      <c r="K20" s="70"/>
      <c r="L20" s="70"/>
      <c r="M20" s="70"/>
      <c r="N20" s="70"/>
      <c r="O20" s="152"/>
      <c r="P20" s="152">
        <v>0</v>
      </c>
      <c r="Q20" s="152">
        <v>0</v>
      </c>
      <c r="R20" s="70"/>
    </row>
    <row r="21" spans="3:23" x14ac:dyDescent="0.25">
      <c r="C21" s="138">
        <v>3212899</v>
      </c>
      <c r="D21" s="104" t="s">
        <v>89</v>
      </c>
      <c r="E21" s="106" t="s">
        <v>73</v>
      </c>
      <c r="F21" s="71">
        <f>2312480-1590000-590000</f>
        <v>132480</v>
      </c>
      <c r="G21" s="63">
        <f t="shared" si="2"/>
        <v>13248</v>
      </c>
      <c r="H21" s="63">
        <f>G21*19%</f>
        <v>2517.12</v>
      </c>
      <c r="I21" s="149">
        <f t="shared" si="4"/>
        <v>148245.12</v>
      </c>
      <c r="K21" s="150">
        <v>339</v>
      </c>
      <c r="L21" s="153">
        <v>20240008173</v>
      </c>
      <c r="M21" s="153"/>
      <c r="N21" s="153"/>
      <c r="O21" s="152">
        <v>30773512</v>
      </c>
      <c r="P21" s="152">
        <v>8183445</v>
      </c>
      <c r="Q21" s="152">
        <v>22590067</v>
      </c>
      <c r="R21" s="174">
        <v>93474509</v>
      </c>
    </row>
    <row r="22" spans="3:23" x14ac:dyDescent="0.25">
      <c r="C22" s="138">
        <v>3212899</v>
      </c>
      <c r="D22" s="104" t="s">
        <v>89</v>
      </c>
      <c r="E22" s="106" t="s">
        <v>75</v>
      </c>
      <c r="F22" s="71">
        <f>325480+100000+600000</f>
        <v>1025480</v>
      </c>
      <c r="G22" s="63">
        <f t="shared" si="2"/>
        <v>102548</v>
      </c>
      <c r="H22" s="63">
        <f t="shared" si="3"/>
        <v>19484.12</v>
      </c>
      <c r="I22" s="149">
        <f t="shared" si="4"/>
        <v>1147512.1200000001</v>
      </c>
      <c r="K22" s="70">
        <v>340</v>
      </c>
      <c r="L22" s="153">
        <v>20240008174</v>
      </c>
      <c r="M22" s="153"/>
      <c r="N22" s="153"/>
      <c r="O22" s="152">
        <v>5883000</v>
      </c>
      <c r="P22" s="152">
        <v>2747145</v>
      </c>
      <c r="Q22" s="152">
        <v>3135855</v>
      </c>
      <c r="R22" s="174">
        <v>1174855</v>
      </c>
    </row>
    <row r="23" spans="3:23" x14ac:dyDescent="0.25">
      <c r="C23" s="69" t="s">
        <v>30</v>
      </c>
      <c r="D23" s="104"/>
      <c r="E23" s="106"/>
      <c r="F23" s="71">
        <f>SUM(F19:F22)</f>
        <v>3826095</v>
      </c>
      <c r="G23" s="63">
        <f>SUM(G19:G22)</f>
        <v>382609.5</v>
      </c>
      <c r="H23" s="63">
        <f>SUM(H19:H22)</f>
        <v>72695.805000000008</v>
      </c>
      <c r="I23" s="149">
        <f>SUM(I19:I22)</f>
        <v>4281400.3049999997</v>
      </c>
      <c r="K23" s="150">
        <v>341</v>
      </c>
      <c r="L23" s="153">
        <v>20240008175</v>
      </c>
      <c r="M23" s="153"/>
      <c r="N23" s="153"/>
      <c r="O23" s="152">
        <v>960000</v>
      </c>
      <c r="P23" s="152">
        <v>372045</v>
      </c>
      <c r="Q23" s="152">
        <v>587955</v>
      </c>
      <c r="R23" s="174">
        <v>297955</v>
      </c>
    </row>
    <row r="24" spans="3:23" x14ac:dyDescent="0.25">
      <c r="D24" s="70"/>
      <c r="E24" s="70"/>
      <c r="F24" s="63"/>
      <c r="G24" s="71"/>
      <c r="H24" s="71"/>
      <c r="I24" s="71"/>
      <c r="K24" s="70">
        <v>342</v>
      </c>
      <c r="L24" s="153">
        <v>20240008176</v>
      </c>
      <c r="M24" s="153"/>
      <c r="N24" s="153"/>
      <c r="O24" s="152">
        <v>6365241</v>
      </c>
      <c r="P24" s="152">
        <v>3388998</v>
      </c>
      <c r="Q24" s="152">
        <v>2976243</v>
      </c>
      <c r="R24" s="174">
        <v>2221243</v>
      </c>
    </row>
    <row r="25" spans="3:23" x14ac:dyDescent="0.25">
      <c r="I25" s="146">
        <f>SUM(I11,I23)</f>
        <v>10381984.647</v>
      </c>
    </row>
    <row r="31" spans="3:23" ht="21.75" customHeight="1" x14ac:dyDescent="0.25">
      <c r="E31" s="185" t="s">
        <v>103</v>
      </c>
      <c r="F31" s="186"/>
      <c r="G31" s="186"/>
      <c r="H31" s="186"/>
      <c r="I31" s="186"/>
      <c r="J31" s="186"/>
      <c r="K31" s="187"/>
      <c r="L31" s="188"/>
      <c r="M31" s="188"/>
      <c r="N31" s="188"/>
      <c r="O31" s="188"/>
      <c r="P31" s="185" t="s">
        <v>105</v>
      </c>
      <c r="Q31" s="186"/>
      <c r="R31" s="186"/>
      <c r="S31" s="48"/>
      <c r="T31" s="48"/>
      <c r="U31" s="48"/>
      <c r="V31" s="48"/>
      <c r="W31" s="48"/>
    </row>
    <row r="32" spans="3:23" ht="28.5" customHeight="1" x14ac:dyDescent="0.25">
      <c r="E32" s="158" t="s">
        <v>32</v>
      </c>
      <c r="F32" s="158" t="s">
        <v>48</v>
      </c>
      <c r="G32" s="158" t="s">
        <v>49</v>
      </c>
      <c r="H32" s="158" t="s">
        <v>50</v>
      </c>
      <c r="I32" s="158" t="s">
        <v>51</v>
      </c>
      <c r="J32" s="158" t="s">
        <v>52</v>
      </c>
      <c r="K32" s="159" t="s">
        <v>53</v>
      </c>
      <c r="P32" s="158" t="s">
        <v>32</v>
      </c>
      <c r="Q32" s="158" t="s">
        <v>48</v>
      </c>
      <c r="R32" s="158" t="s">
        <v>49</v>
      </c>
      <c r="S32" s="158" t="s">
        <v>50</v>
      </c>
      <c r="T32" s="158"/>
      <c r="U32" s="158" t="s">
        <v>51</v>
      </c>
      <c r="V32" s="158" t="s">
        <v>52</v>
      </c>
      <c r="W32" s="158"/>
    </row>
    <row r="33" spans="5:23" ht="22.5" x14ac:dyDescent="0.25">
      <c r="E33" s="160">
        <v>85330</v>
      </c>
      <c r="F33" s="158" t="s">
        <v>38</v>
      </c>
      <c r="G33" s="161">
        <v>20240008168</v>
      </c>
      <c r="H33" s="162">
        <v>36017545</v>
      </c>
      <c r="I33" s="161"/>
      <c r="J33" s="162">
        <v>622121</v>
      </c>
      <c r="K33" s="163">
        <v>36932585</v>
      </c>
      <c r="P33" s="160">
        <v>85330</v>
      </c>
      <c r="Q33" s="158" t="s">
        <v>38</v>
      </c>
      <c r="R33" s="161">
        <v>20240008168</v>
      </c>
      <c r="S33" s="162">
        <v>36305490</v>
      </c>
      <c r="T33" s="162"/>
      <c r="U33" s="161"/>
      <c r="V33" s="162">
        <v>627095</v>
      </c>
      <c r="W33" s="162"/>
    </row>
    <row r="34" spans="5:23" x14ac:dyDescent="0.25">
      <c r="E34" s="69" t="s">
        <v>30</v>
      </c>
      <c r="F34" s="158"/>
      <c r="G34" s="161"/>
      <c r="H34" s="161"/>
      <c r="I34" s="161"/>
      <c r="J34" s="161"/>
      <c r="K34" s="165">
        <f>H33+J33</f>
        <v>36639666</v>
      </c>
      <c r="P34" s="69" t="s">
        <v>30</v>
      </c>
      <c r="Q34" s="158"/>
      <c r="R34" s="161"/>
      <c r="S34" s="162"/>
      <c r="T34" s="162"/>
      <c r="U34" s="161"/>
      <c r="V34" s="162"/>
      <c r="W34" s="162"/>
    </row>
    <row r="37" spans="5:23" x14ac:dyDescent="0.25">
      <c r="E37" s="2"/>
      <c r="F37" s="2"/>
      <c r="G37" s="2"/>
      <c r="H37" s="2"/>
    </row>
    <row r="38" spans="5:23" x14ac:dyDescent="0.25">
      <c r="E38" s="2" t="s">
        <v>47</v>
      </c>
      <c r="F38" s="2"/>
      <c r="G38" s="2" t="s">
        <v>104</v>
      </c>
      <c r="H38" s="2"/>
      <c r="P38" t="s">
        <v>47</v>
      </c>
      <c r="R38" t="s">
        <v>106</v>
      </c>
    </row>
    <row r="39" spans="5:23" x14ac:dyDescent="0.25">
      <c r="E39" t="s">
        <v>92</v>
      </c>
      <c r="P39" t="s">
        <v>92</v>
      </c>
    </row>
    <row r="40" spans="5:23" ht="18" x14ac:dyDescent="0.25">
      <c r="E40" s="121" t="s">
        <v>32</v>
      </c>
      <c r="F40" s="121" t="s">
        <v>48</v>
      </c>
      <c r="G40" s="121" t="s">
        <v>49</v>
      </c>
      <c r="H40" s="121" t="s">
        <v>50</v>
      </c>
      <c r="I40" s="121" t="s">
        <v>87</v>
      </c>
      <c r="J40" s="121" t="s">
        <v>144</v>
      </c>
      <c r="K40" s="121" t="s">
        <v>53</v>
      </c>
      <c r="P40" s="121" t="s">
        <v>32</v>
      </c>
      <c r="Q40" s="121" t="s">
        <v>48</v>
      </c>
      <c r="R40" s="121" t="s">
        <v>49</v>
      </c>
      <c r="S40" s="121" t="s">
        <v>50</v>
      </c>
      <c r="T40" s="121"/>
      <c r="U40" s="121" t="s">
        <v>87</v>
      </c>
      <c r="V40" s="121" t="s">
        <v>88</v>
      </c>
      <c r="W40" s="121"/>
    </row>
    <row r="41" spans="5:23" ht="26.25" x14ac:dyDescent="0.25">
      <c r="E41" s="129">
        <v>2381301</v>
      </c>
      <c r="F41" s="107" t="s">
        <v>90</v>
      </c>
      <c r="G41" s="75">
        <v>20240008171</v>
      </c>
      <c r="H41" s="71">
        <v>4408051</v>
      </c>
      <c r="I41" s="71">
        <f t="shared" ref="I41" si="5">H41*10%</f>
        <v>440805.10000000003</v>
      </c>
      <c r="J41" s="71">
        <v>83753</v>
      </c>
      <c r="K41" s="184">
        <f>H41+I41+J41</f>
        <v>4932609.0999999996</v>
      </c>
      <c r="P41" s="129">
        <v>2381301</v>
      </c>
      <c r="Q41" s="107" t="s">
        <v>90</v>
      </c>
      <c r="R41" s="75">
        <v>20240008171</v>
      </c>
      <c r="S41" s="71">
        <v>3792418</v>
      </c>
      <c r="T41" s="71"/>
      <c r="U41" s="71">
        <f t="shared" ref="U41:U42" si="6">S41*10%</f>
        <v>379241.80000000005</v>
      </c>
      <c r="V41" s="71">
        <f>U41*19%</f>
        <v>72055.94200000001</v>
      </c>
      <c r="W41" s="71"/>
    </row>
    <row r="42" spans="5:23" ht="26.25" x14ac:dyDescent="0.25">
      <c r="E42" s="129"/>
      <c r="F42" s="107"/>
      <c r="G42" s="75"/>
      <c r="H42" s="71"/>
      <c r="I42" s="71"/>
      <c r="J42" s="71"/>
      <c r="K42" s="147"/>
      <c r="P42" s="129">
        <v>2391102</v>
      </c>
      <c r="Q42" s="107" t="s">
        <v>90</v>
      </c>
      <c r="R42" s="75">
        <v>20240008172</v>
      </c>
      <c r="S42" s="71">
        <v>389999</v>
      </c>
      <c r="T42" s="71"/>
      <c r="U42" s="71">
        <f t="shared" si="6"/>
        <v>38999.9</v>
      </c>
      <c r="V42" s="71">
        <f>U42*19%</f>
        <v>7409.9810000000007</v>
      </c>
      <c r="W42" s="71"/>
    </row>
    <row r="43" spans="5:23" x14ac:dyDescent="0.25">
      <c r="E43" s="69" t="s">
        <v>30</v>
      </c>
      <c r="F43" s="70"/>
      <c r="G43" s="70"/>
      <c r="H43" s="63">
        <f>SUM(H41:H42)</f>
        <v>4408051</v>
      </c>
      <c r="I43" s="71">
        <f>SUM(I41:I42)</f>
        <v>440805.10000000003</v>
      </c>
      <c r="J43" s="71">
        <f>SUM(J41:J42)</f>
        <v>83753</v>
      </c>
      <c r="K43" s="68">
        <f>SUM(K41:K42)</f>
        <v>4932609.0999999996</v>
      </c>
      <c r="P43" s="69" t="s">
        <v>30</v>
      </c>
      <c r="Q43" s="70"/>
      <c r="R43" s="70"/>
      <c r="S43" s="63">
        <f>SUM(S41:S42)</f>
        <v>4182417</v>
      </c>
      <c r="T43" s="63"/>
      <c r="U43" s="71">
        <f>SUM(U41:U42)</f>
        <v>418241.70000000007</v>
      </c>
      <c r="V43" s="71">
        <f>SUM(V41:V42)</f>
        <v>79465.92300000001</v>
      </c>
      <c r="W43" s="71"/>
    </row>
    <row r="48" spans="5:23" x14ac:dyDescent="0.25">
      <c r="P48" t="s">
        <v>54</v>
      </c>
      <c r="R48" t="s">
        <v>106</v>
      </c>
    </row>
    <row r="49" spans="4:23" x14ac:dyDescent="0.25">
      <c r="P49" t="s">
        <v>93</v>
      </c>
    </row>
    <row r="50" spans="4:23" ht="18" x14ac:dyDescent="0.25">
      <c r="P50" s="121" t="s">
        <v>32</v>
      </c>
      <c r="Q50" s="121" t="s">
        <v>48</v>
      </c>
      <c r="R50" s="121" t="s">
        <v>49</v>
      </c>
      <c r="S50" s="121" t="s">
        <v>50</v>
      </c>
      <c r="T50" s="121"/>
      <c r="U50" s="121" t="s">
        <v>87</v>
      </c>
      <c r="V50" s="121" t="s">
        <v>52</v>
      </c>
      <c r="W50" s="121"/>
    </row>
    <row r="51" spans="4:23" ht="15.75" thickBot="1" x14ac:dyDescent="0.3">
      <c r="P51" s="138">
        <v>3212899</v>
      </c>
      <c r="Q51" s="104" t="s">
        <v>89</v>
      </c>
      <c r="R51" s="106" t="s">
        <v>69</v>
      </c>
      <c r="S51" s="71">
        <f>200020+1590000</f>
        <v>1790020</v>
      </c>
      <c r="T51" s="71"/>
      <c r="U51" s="63">
        <f>S51*10%</f>
        <v>179002</v>
      </c>
      <c r="V51" s="63">
        <f>U51*19%</f>
        <v>34010.379999999997</v>
      </c>
      <c r="W51" s="63"/>
    </row>
    <row r="52" spans="4:23" ht="15.75" thickBot="1" x14ac:dyDescent="0.3">
      <c r="D52" s="175" t="s">
        <v>107</v>
      </c>
      <c r="E52" s="176" t="s">
        <v>108</v>
      </c>
      <c r="F52" s="176" t="s">
        <v>109</v>
      </c>
      <c r="G52" s="176" t="s">
        <v>110</v>
      </c>
      <c r="H52" s="176" t="s">
        <v>111</v>
      </c>
      <c r="I52" s="176" t="s">
        <v>112</v>
      </c>
      <c r="P52" s="138">
        <v>3532212</v>
      </c>
      <c r="Q52" s="104" t="s">
        <v>89</v>
      </c>
      <c r="R52" s="106" t="s">
        <v>70</v>
      </c>
      <c r="S52" s="71">
        <f>988115-100000-10000</f>
        <v>878115</v>
      </c>
      <c r="T52" s="71"/>
      <c r="U52" s="63">
        <f t="shared" ref="U52:U54" si="7">S52*10%</f>
        <v>87811.5</v>
      </c>
      <c r="V52" s="63">
        <f t="shared" ref="V52" si="8">U52*19%</f>
        <v>16684.185000000001</v>
      </c>
      <c r="W52" s="63"/>
    </row>
    <row r="53" spans="4:23" ht="15.75" thickBot="1" x14ac:dyDescent="0.3">
      <c r="D53" s="177">
        <v>15</v>
      </c>
      <c r="E53" s="178">
        <v>20240008169</v>
      </c>
      <c r="F53" s="179" t="s">
        <v>113</v>
      </c>
      <c r="G53" s="178" t="s">
        <v>114</v>
      </c>
      <c r="H53" s="179" t="s">
        <v>115</v>
      </c>
      <c r="I53" s="178" t="s">
        <v>116</v>
      </c>
      <c r="P53" s="138">
        <v>3212899</v>
      </c>
      <c r="Q53" s="104" t="s">
        <v>89</v>
      </c>
      <c r="R53" s="106" t="s">
        <v>73</v>
      </c>
      <c r="S53" s="71">
        <v>123480</v>
      </c>
      <c r="T53" s="71"/>
      <c r="U53" s="63">
        <f t="shared" si="7"/>
        <v>12348</v>
      </c>
      <c r="V53" s="63">
        <f>U53*19%</f>
        <v>2346.12</v>
      </c>
      <c r="W53" s="63"/>
    </row>
    <row r="54" spans="4:23" ht="15.75" thickBot="1" x14ac:dyDescent="0.3">
      <c r="D54" s="180">
        <v>16</v>
      </c>
      <c r="E54" s="178">
        <v>20240008170</v>
      </c>
      <c r="F54" s="181" t="s">
        <v>117</v>
      </c>
      <c r="G54" s="178" t="s">
        <v>118</v>
      </c>
      <c r="H54" s="181" t="s">
        <v>119</v>
      </c>
      <c r="I54" s="178" t="s">
        <v>119</v>
      </c>
      <c r="P54" s="138">
        <v>3212899</v>
      </c>
      <c r="Q54" s="104" t="s">
        <v>89</v>
      </c>
      <c r="R54" s="106" t="s">
        <v>75</v>
      </c>
      <c r="S54" s="71">
        <v>1025435</v>
      </c>
      <c r="T54" s="71"/>
      <c r="U54" s="63">
        <f t="shared" si="7"/>
        <v>102543.5</v>
      </c>
      <c r="V54" s="63">
        <f t="shared" ref="V54" si="9">U54*19%</f>
        <v>19483.264999999999</v>
      </c>
      <c r="W54" s="63"/>
    </row>
    <row r="55" spans="4:23" ht="15.75" thickBot="1" x14ac:dyDescent="0.3">
      <c r="D55" s="177">
        <v>17</v>
      </c>
      <c r="E55" s="178">
        <v>20240008171</v>
      </c>
      <c r="F55" s="179" t="s">
        <v>120</v>
      </c>
      <c r="G55" s="178" t="s">
        <v>121</v>
      </c>
      <c r="H55" s="179" t="s">
        <v>122</v>
      </c>
      <c r="I55" s="178" t="s">
        <v>123</v>
      </c>
      <c r="P55" s="69" t="s">
        <v>30</v>
      </c>
      <c r="Q55" s="104"/>
      <c r="R55" s="106"/>
      <c r="S55" s="71">
        <f>SUM(S51:S54)</f>
        <v>3817050</v>
      </c>
      <c r="T55" s="71"/>
      <c r="U55" s="63">
        <f>SUM(U51:U54)</f>
        <v>381705</v>
      </c>
      <c r="V55" s="63">
        <f>SUM(V51:V54)</f>
        <v>72523.950000000012</v>
      </c>
      <c r="W55" s="63"/>
    </row>
    <row r="56" spans="4:23" ht="15.75" thickBot="1" x14ac:dyDescent="0.3">
      <c r="D56" s="180">
        <v>18</v>
      </c>
      <c r="E56" s="178">
        <v>20240008172</v>
      </c>
      <c r="F56" s="181" t="s">
        <v>124</v>
      </c>
      <c r="G56" s="178" t="s">
        <v>125</v>
      </c>
      <c r="H56" s="181" t="s">
        <v>126</v>
      </c>
      <c r="I56" s="178" t="s">
        <v>127</v>
      </c>
    </row>
    <row r="57" spans="4:23" ht="15.75" thickBot="1" x14ac:dyDescent="0.3">
      <c r="D57" s="182"/>
      <c r="E57" s="183"/>
      <c r="F57" s="183"/>
      <c r="G57" s="183"/>
      <c r="H57" s="183"/>
      <c r="I57" s="183"/>
    </row>
    <row r="58" spans="4:23" ht="15.75" thickBot="1" x14ac:dyDescent="0.3">
      <c r="D58" s="177">
        <v>339</v>
      </c>
      <c r="E58" s="178">
        <v>20240008173</v>
      </c>
      <c r="F58" s="179" t="s">
        <v>128</v>
      </c>
      <c r="G58" s="178" t="s">
        <v>129</v>
      </c>
      <c r="H58" s="179" t="s">
        <v>130</v>
      </c>
      <c r="I58" s="178" t="s">
        <v>131</v>
      </c>
    </row>
    <row r="59" spans="4:23" ht="15.75" thickBot="1" x14ac:dyDescent="0.3">
      <c r="D59" s="180">
        <v>340</v>
      </c>
      <c r="E59" s="178">
        <v>20240008174</v>
      </c>
      <c r="F59" s="181" t="s">
        <v>132</v>
      </c>
      <c r="G59" s="178" t="s">
        <v>133</v>
      </c>
      <c r="H59" s="181" t="s">
        <v>134</v>
      </c>
      <c r="I59" s="178" t="s">
        <v>135</v>
      </c>
    </row>
    <row r="60" spans="4:23" ht="15.75" thickBot="1" x14ac:dyDescent="0.3">
      <c r="D60" s="177">
        <v>341</v>
      </c>
      <c r="E60" s="178">
        <v>20240008175</v>
      </c>
      <c r="F60" s="179" t="s">
        <v>136</v>
      </c>
      <c r="G60" s="178" t="s">
        <v>137</v>
      </c>
      <c r="H60" s="179" t="s">
        <v>138</v>
      </c>
      <c r="I60" s="178" t="s">
        <v>139</v>
      </c>
    </row>
    <row r="61" spans="4:23" ht="15.75" thickBot="1" x14ac:dyDescent="0.3">
      <c r="D61" s="180">
        <v>342</v>
      </c>
      <c r="E61" s="178">
        <v>20240008176</v>
      </c>
      <c r="F61" s="181" t="s">
        <v>140</v>
      </c>
      <c r="G61" s="178" t="s">
        <v>141</v>
      </c>
      <c r="H61" s="181" t="s">
        <v>142</v>
      </c>
      <c r="I61" s="178" t="s">
        <v>143</v>
      </c>
    </row>
    <row r="62" spans="4:23" x14ac:dyDescent="0.25">
      <c r="R62" s="146"/>
    </row>
    <row r="63" spans="4:23" x14ac:dyDescent="0.25">
      <c r="P63" s="44">
        <f>18017337-4932609</f>
        <v>13084728</v>
      </c>
      <c r="R63" s="146"/>
    </row>
    <row r="64" spans="4:23" ht="15.75" thickBot="1" x14ac:dyDescent="0.3">
      <c r="D64" t="s">
        <v>173</v>
      </c>
    </row>
    <row r="65" spans="4:25" ht="15.75" thickBot="1" x14ac:dyDescent="0.3">
      <c r="D65" s="190" t="s">
        <v>49</v>
      </c>
      <c r="E65" s="191" t="s">
        <v>99</v>
      </c>
      <c r="F65" s="191" t="s">
        <v>100</v>
      </c>
      <c r="G65" s="191" t="s">
        <v>145</v>
      </c>
      <c r="S65" s="190"/>
      <c r="T65" s="191"/>
      <c r="U65" s="196" t="s">
        <v>183</v>
      </c>
      <c r="V65" s="196" t="s">
        <v>184</v>
      </c>
      <c r="W65" s="196"/>
    </row>
    <row r="66" spans="4:25" ht="15.75" thickBot="1" x14ac:dyDescent="0.3">
      <c r="D66" s="193">
        <v>20240008168</v>
      </c>
      <c r="E66" s="189" t="s">
        <v>146</v>
      </c>
      <c r="F66" s="189" t="s">
        <v>147</v>
      </c>
      <c r="G66" s="189" t="s">
        <v>148</v>
      </c>
      <c r="I66" s="44"/>
      <c r="S66" s="193">
        <v>20240008168</v>
      </c>
      <c r="T66" s="178"/>
      <c r="U66" s="189" t="s">
        <v>185</v>
      </c>
      <c r="V66" s="189" t="s">
        <v>186</v>
      </c>
      <c r="W66" s="189"/>
    </row>
    <row r="67" spans="4:25" ht="15.75" thickBot="1" x14ac:dyDescent="0.3">
      <c r="D67" s="193">
        <v>20240008169</v>
      </c>
      <c r="E67" s="189" t="s">
        <v>149</v>
      </c>
      <c r="F67" s="189" t="s">
        <v>150</v>
      </c>
      <c r="G67" s="189" t="s">
        <v>151</v>
      </c>
      <c r="P67" s="44"/>
      <c r="S67" s="193">
        <v>20240008169</v>
      </c>
      <c r="T67" s="178"/>
      <c r="U67" s="189" t="s">
        <v>187</v>
      </c>
      <c r="V67" s="189" t="s">
        <v>188</v>
      </c>
      <c r="W67" s="189"/>
      <c r="Y67" s="75">
        <v>20240008169</v>
      </c>
    </row>
    <row r="68" spans="4:25" ht="15.75" thickBot="1" x14ac:dyDescent="0.3">
      <c r="D68" s="193">
        <v>20240008170</v>
      </c>
      <c r="E68" s="189" t="s">
        <v>152</v>
      </c>
      <c r="F68" s="189" t="s">
        <v>153</v>
      </c>
      <c r="G68" s="189" t="s">
        <v>154</v>
      </c>
      <c r="P68" s="71">
        <f>5360000</f>
        <v>5360000</v>
      </c>
      <c r="Q68" s="70" t="s">
        <v>178</v>
      </c>
      <c r="S68" s="193">
        <v>20240008170</v>
      </c>
      <c r="T68" s="178"/>
      <c r="U68" s="189" t="s">
        <v>189</v>
      </c>
      <c r="V68" s="189" t="s">
        <v>190</v>
      </c>
      <c r="W68" s="189"/>
      <c r="Y68" s="75">
        <v>20240008170</v>
      </c>
    </row>
    <row r="69" spans="4:25" ht="15.75" thickBot="1" x14ac:dyDescent="0.3">
      <c r="D69" s="193">
        <v>20240008171</v>
      </c>
      <c r="E69" s="189" t="s">
        <v>155</v>
      </c>
      <c r="F69" s="189" t="s">
        <v>156</v>
      </c>
      <c r="G69" s="195" t="s">
        <v>157</v>
      </c>
      <c r="I69" s="144">
        <f>8841012-6145914-123608</f>
        <v>2571490</v>
      </c>
      <c r="J69" s="44"/>
      <c r="P69" s="71">
        <v>740000</v>
      </c>
      <c r="Q69" s="70" t="s">
        <v>179</v>
      </c>
      <c r="S69" s="193">
        <v>20240008171</v>
      </c>
      <c r="T69" s="178"/>
      <c r="U69" s="189" t="s">
        <v>191</v>
      </c>
      <c r="V69" s="189" t="s">
        <v>192</v>
      </c>
      <c r="W69" s="189"/>
      <c r="Y69" s="75">
        <v>20240008171</v>
      </c>
    </row>
    <row r="70" spans="4:25" ht="15.75" thickBot="1" x14ac:dyDescent="0.3">
      <c r="D70" s="193">
        <v>20240008172</v>
      </c>
      <c r="E70" s="189" t="s">
        <v>158</v>
      </c>
      <c r="F70" s="189" t="s">
        <v>159</v>
      </c>
      <c r="G70" s="189" t="s">
        <v>160</v>
      </c>
      <c r="I70" s="44">
        <v>258000</v>
      </c>
      <c r="L70" s="45">
        <f>27453702-19337365</f>
        <v>8116337</v>
      </c>
      <c r="M70" s="45"/>
      <c r="N70" s="45"/>
      <c r="P70" s="71">
        <v>97500</v>
      </c>
      <c r="Q70" s="70" t="s">
        <v>180</v>
      </c>
      <c r="S70" s="193">
        <v>20240008172</v>
      </c>
      <c r="T70" s="178"/>
      <c r="U70" s="189" t="s">
        <v>193</v>
      </c>
      <c r="V70" s="189" t="s">
        <v>194</v>
      </c>
      <c r="W70" s="189"/>
      <c r="Y70" s="75">
        <v>20240008172</v>
      </c>
    </row>
    <row r="71" spans="4:25" ht="15.75" thickBot="1" x14ac:dyDescent="0.3">
      <c r="D71" s="192"/>
      <c r="E71" s="194" t="e">
        <v>#N/A</v>
      </c>
      <c r="F71" s="194" t="e">
        <v>#N/A</v>
      </c>
      <c r="G71" s="194" t="e">
        <v>#N/A</v>
      </c>
      <c r="P71" s="71">
        <v>1000000</v>
      </c>
      <c r="Q71" s="70" t="s">
        <v>181</v>
      </c>
      <c r="S71" s="192"/>
      <c r="T71" s="189"/>
      <c r="U71" s="194" t="e">
        <v>#N/A</v>
      </c>
      <c r="V71" s="194" t="e">
        <v>#N/A</v>
      </c>
      <c r="W71" s="194"/>
    </row>
    <row r="72" spans="4:25" ht="15.75" thickBot="1" x14ac:dyDescent="0.3">
      <c r="D72" s="193">
        <v>20240008173</v>
      </c>
      <c r="E72" s="189" t="s">
        <v>161</v>
      </c>
      <c r="F72" s="189" t="s">
        <v>162</v>
      </c>
      <c r="G72" s="195" t="s">
        <v>163</v>
      </c>
      <c r="I72" s="144">
        <f>18584003-4231275</f>
        <v>14352728</v>
      </c>
      <c r="L72" s="45">
        <v>8453702</v>
      </c>
      <c r="M72" s="45"/>
      <c r="N72" s="45"/>
      <c r="P72" s="71">
        <v>1323000</v>
      </c>
      <c r="Q72" s="70" t="s">
        <v>182</v>
      </c>
      <c r="S72" s="193">
        <v>20240008173</v>
      </c>
      <c r="T72" s="178"/>
      <c r="U72" s="189" t="s">
        <v>195</v>
      </c>
      <c r="V72" s="189" t="s">
        <v>196</v>
      </c>
      <c r="W72" s="189"/>
    </row>
    <row r="73" spans="4:25" ht="15.75" thickBot="1" x14ac:dyDescent="0.3">
      <c r="D73" s="193">
        <v>20240008174</v>
      </c>
      <c r="E73" s="189" t="s">
        <v>164</v>
      </c>
      <c r="F73" s="189" t="s">
        <v>165</v>
      </c>
      <c r="G73" s="195" t="s">
        <v>166</v>
      </c>
      <c r="I73" s="44">
        <v>1258044</v>
      </c>
      <c r="P73" s="68">
        <f>SUM(P68:P72)</f>
        <v>8520500</v>
      </c>
      <c r="Q73" s="70"/>
      <c r="S73" s="193">
        <v>20240008174</v>
      </c>
      <c r="T73" s="178"/>
      <c r="U73" s="189" t="s">
        <v>197</v>
      </c>
      <c r="V73" s="189" t="s">
        <v>198</v>
      </c>
      <c r="W73" s="189"/>
    </row>
    <row r="74" spans="4:25" ht="15.75" thickBot="1" x14ac:dyDescent="0.3">
      <c r="D74" s="193">
        <v>20240008175</v>
      </c>
      <c r="E74" s="189" t="s">
        <v>167</v>
      </c>
      <c r="F74" s="189" t="s">
        <v>168</v>
      </c>
      <c r="G74" s="189" t="s">
        <v>169</v>
      </c>
      <c r="I74" s="44">
        <v>301536</v>
      </c>
      <c r="S74" s="193">
        <v>20240008175</v>
      </c>
      <c r="T74" s="178"/>
      <c r="U74" s="189" t="s">
        <v>199</v>
      </c>
      <c r="V74" s="189" t="s">
        <v>200</v>
      </c>
      <c r="W74" s="189"/>
    </row>
    <row r="75" spans="4:25" ht="15.75" thickBot="1" x14ac:dyDescent="0.3">
      <c r="D75" s="193">
        <v>20240008176</v>
      </c>
      <c r="E75" s="189" t="s">
        <v>170</v>
      </c>
      <c r="F75" s="189" t="s">
        <v>171</v>
      </c>
      <c r="G75" s="189" t="s">
        <v>172</v>
      </c>
      <c r="I75" s="44">
        <v>595557</v>
      </c>
      <c r="S75" s="193">
        <v>20240008176</v>
      </c>
      <c r="T75" s="178"/>
      <c r="U75" s="189" t="s">
        <v>201</v>
      </c>
      <c r="V75" s="189" t="s">
        <v>202</v>
      </c>
      <c r="W75" s="189"/>
    </row>
    <row r="76" spans="4:25" x14ac:dyDescent="0.25">
      <c r="I76" s="44">
        <f>I69+I70+I72+I73+I74+I75</f>
        <v>19337355</v>
      </c>
      <c r="K76">
        <v>18697320</v>
      </c>
      <c r="P76" s="44">
        <f>SUM(P68:P72)</f>
        <v>8520500</v>
      </c>
      <c r="S76" s="197"/>
      <c r="T76" s="197"/>
    </row>
    <row r="77" spans="4:25" x14ac:dyDescent="0.25">
      <c r="K77" s="44">
        <f>I76-K76</f>
        <v>640035</v>
      </c>
      <c r="P77" s="44">
        <f>L72-P76</f>
        <v>-66798</v>
      </c>
    </row>
    <row r="78" spans="4:25" x14ac:dyDescent="0.25">
      <c r="D78" s="2" t="s">
        <v>174</v>
      </c>
      <c r="E78" s="186"/>
      <c r="F78" s="186"/>
      <c r="G78" s="186"/>
      <c r="H78" s="186"/>
      <c r="I78" s="186"/>
      <c r="J78" s="187"/>
      <c r="P78" s="44">
        <v>27453702</v>
      </c>
      <c r="W78" s="45">
        <f>295461872-274028188</f>
        <v>21433684</v>
      </c>
    </row>
    <row r="79" spans="4:25" x14ac:dyDescent="0.25">
      <c r="D79" s="158" t="s">
        <v>32</v>
      </c>
      <c r="E79" s="158" t="s">
        <v>48</v>
      </c>
      <c r="F79" s="158" t="s">
        <v>49</v>
      </c>
      <c r="G79" s="158" t="s">
        <v>50</v>
      </c>
      <c r="H79" s="158" t="s">
        <v>51</v>
      </c>
      <c r="I79" s="158" t="s">
        <v>52</v>
      </c>
      <c r="J79" s="159" t="s">
        <v>53</v>
      </c>
    </row>
    <row r="80" spans="4:25" ht="22.5" x14ac:dyDescent="0.25">
      <c r="D80" s="160">
        <v>85330</v>
      </c>
      <c r="E80" s="158" t="s">
        <v>38</v>
      </c>
      <c r="F80" s="161">
        <v>20240008168</v>
      </c>
      <c r="G80" s="162">
        <v>36305490</v>
      </c>
      <c r="H80" s="161"/>
      <c r="I80" s="162">
        <v>627095</v>
      </c>
      <c r="J80" s="163">
        <v>36932585</v>
      </c>
      <c r="P80">
        <v>15</v>
      </c>
      <c r="Q80" s="44">
        <v>220500</v>
      </c>
      <c r="R80" s="44">
        <f>P80*Q80</f>
        <v>3307500</v>
      </c>
    </row>
    <row r="81" spans="4:27" x14ac:dyDescent="0.25">
      <c r="D81" s="69" t="s">
        <v>30</v>
      </c>
      <c r="E81" s="158"/>
      <c r="F81" s="161"/>
      <c r="G81" s="161"/>
      <c r="H81" s="161"/>
      <c r="I81" s="161"/>
      <c r="J81" s="165">
        <f>G80+I80</f>
        <v>36932585</v>
      </c>
      <c r="U81">
        <f>1340000</f>
        <v>1340000</v>
      </c>
    </row>
    <row r="82" spans="4:27" x14ac:dyDescent="0.25">
      <c r="P82">
        <v>9</v>
      </c>
      <c r="Q82" s="44">
        <f>P82*Q80</f>
        <v>1984500</v>
      </c>
    </row>
    <row r="83" spans="4:27" x14ac:dyDescent="0.25">
      <c r="Q83" s="44">
        <f>R80-Q82</f>
        <v>1323000</v>
      </c>
      <c r="U83" t="s">
        <v>203</v>
      </c>
    </row>
    <row r="84" spans="4:27" x14ac:dyDescent="0.25">
      <c r="D84" s="2"/>
      <c r="E84" s="2"/>
      <c r="F84" s="2"/>
      <c r="G84" s="2"/>
      <c r="U84" t="s">
        <v>204</v>
      </c>
    </row>
    <row r="85" spans="4:27" x14ac:dyDescent="0.25">
      <c r="D85" s="2" t="s">
        <v>47</v>
      </c>
      <c r="E85" s="2"/>
      <c r="F85" s="2" t="s">
        <v>175</v>
      </c>
      <c r="G85" s="2"/>
      <c r="P85" s="44">
        <f>6*Q80</f>
        <v>1323000</v>
      </c>
    </row>
    <row r="86" spans="4:27" x14ac:dyDescent="0.25">
      <c r="D86" t="s">
        <v>92</v>
      </c>
      <c r="S86" s="2"/>
      <c r="T86" s="2"/>
      <c r="V86" s="2"/>
      <c r="W86" s="2"/>
    </row>
    <row r="87" spans="4:27" ht="18" x14ac:dyDescent="0.25">
      <c r="D87" s="121" t="s">
        <v>32</v>
      </c>
      <c r="E87" s="121" t="s">
        <v>48</v>
      </c>
      <c r="F87" s="121" t="s">
        <v>49</v>
      </c>
      <c r="G87" s="121" t="s">
        <v>50</v>
      </c>
      <c r="H87" s="121" t="s">
        <v>87</v>
      </c>
      <c r="I87" s="121" t="s">
        <v>176</v>
      </c>
      <c r="J87" s="121" t="s">
        <v>53</v>
      </c>
      <c r="S87" s="2" t="s">
        <v>205</v>
      </c>
    </row>
    <row r="88" spans="4:27" ht="18" x14ac:dyDescent="0.25">
      <c r="D88" s="129">
        <v>2381301</v>
      </c>
      <c r="E88" s="107" t="s">
        <v>90</v>
      </c>
      <c r="F88" s="75">
        <v>20240008171</v>
      </c>
      <c r="G88" s="71">
        <v>5492327</v>
      </c>
      <c r="H88" s="71">
        <f>G88*10%</f>
        <v>549232.70000000007</v>
      </c>
      <c r="I88" s="71">
        <f>H88*19%</f>
        <v>104354.21300000002</v>
      </c>
      <c r="J88" s="184">
        <f>G88+H88+I88</f>
        <v>6145913.9130000006</v>
      </c>
      <c r="S88" s="121" t="s">
        <v>48</v>
      </c>
      <c r="T88" s="121"/>
      <c r="U88" s="121" t="s">
        <v>49</v>
      </c>
      <c r="V88" s="121" t="s">
        <v>50</v>
      </c>
      <c r="W88" s="121" t="s">
        <v>87</v>
      </c>
      <c r="X88" s="121" t="s">
        <v>176</v>
      </c>
      <c r="Y88" s="121" t="s">
        <v>53</v>
      </c>
    </row>
    <row r="89" spans="4:27" ht="26.25" x14ac:dyDescent="0.25">
      <c r="S89" s="262" t="s">
        <v>206</v>
      </c>
      <c r="T89" s="198" t="s">
        <v>207</v>
      </c>
      <c r="U89" s="96">
        <v>20240008171</v>
      </c>
      <c r="V89" s="68">
        <v>2240000</v>
      </c>
      <c r="W89" s="68">
        <v>224000</v>
      </c>
      <c r="X89" s="68">
        <v>42560</v>
      </c>
      <c r="Y89" s="99">
        <f>V89+W89+X89</f>
        <v>2506560</v>
      </c>
      <c r="Z89" s="44"/>
    </row>
    <row r="90" spans="4:27" x14ac:dyDescent="0.25">
      <c r="S90" s="262"/>
      <c r="T90" s="198">
        <v>2120201002</v>
      </c>
      <c r="U90" s="96">
        <v>20240008172</v>
      </c>
      <c r="V90" s="68">
        <v>229000</v>
      </c>
      <c r="W90" s="68">
        <v>22900</v>
      </c>
      <c r="X90" s="68">
        <v>4351</v>
      </c>
      <c r="Y90" s="99">
        <f t="shared" ref="Y90:Y94" si="10">V90+W90+X90</f>
        <v>256251</v>
      </c>
      <c r="Z90" s="44"/>
    </row>
    <row r="91" spans="4:27" x14ac:dyDescent="0.25">
      <c r="D91" s="2" t="s">
        <v>47</v>
      </c>
      <c r="E91" s="2"/>
      <c r="F91" s="2" t="s">
        <v>177</v>
      </c>
      <c r="G91" s="2"/>
      <c r="S91" s="262" t="s">
        <v>89</v>
      </c>
      <c r="T91" s="200" t="s">
        <v>60</v>
      </c>
      <c r="U91" s="96">
        <v>20240008173</v>
      </c>
      <c r="V91" s="68">
        <v>12324955</v>
      </c>
      <c r="W91" s="68">
        <v>1232495.5</v>
      </c>
      <c r="X91" s="68">
        <v>234174.14499999999</v>
      </c>
      <c r="Y91" s="99">
        <f t="shared" si="10"/>
        <v>13791624.645</v>
      </c>
      <c r="Z91" s="44"/>
      <c r="AA91" s="143">
        <f>14352728-13791625</f>
        <v>561103</v>
      </c>
    </row>
    <row r="92" spans="4:27" x14ac:dyDescent="0.25">
      <c r="D92" t="s">
        <v>92</v>
      </c>
      <c r="S92" s="262"/>
      <c r="T92" s="200" t="s">
        <v>60</v>
      </c>
      <c r="U92" s="96">
        <v>20240008174</v>
      </c>
      <c r="V92" s="68">
        <v>1120000</v>
      </c>
      <c r="W92" s="68">
        <v>112000</v>
      </c>
      <c r="X92" s="68">
        <v>21280</v>
      </c>
      <c r="Y92" s="99">
        <f t="shared" si="10"/>
        <v>1253280</v>
      </c>
      <c r="Z92" s="44"/>
    </row>
    <row r="93" spans="4:27" ht="18" x14ac:dyDescent="0.25">
      <c r="D93" s="121" t="s">
        <v>32</v>
      </c>
      <c r="E93" s="121" t="s">
        <v>48</v>
      </c>
      <c r="F93" s="121" t="s">
        <v>49</v>
      </c>
      <c r="G93" s="121" t="s">
        <v>50</v>
      </c>
      <c r="H93" s="121" t="s">
        <v>87</v>
      </c>
      <c r="I93" s="121" t="s">
        <v>176</v>
      </c>
      <c r="J93" s="121" t="s">
        <v>53</v>
      </c>
      <c r="S93" s="262"/>
      <c r="T93" s="200" t="s">
        <v>60</v>
      </c>
      <c r="U93" s="96">
        <v>20240008175</v>
      </c>
      <c r="V93" s="68">
        <v>265000</v>
      </c>
      <c r="W93" s="68">
        <v>26499</v>
      </c>
      <c r="X93" s="68">
        <v>5035</v>
      </c>
      <c r="Y93" s="99">
        <f t="shared" si="10"/>
        <v>296534</v>
      </c>
      <c r="Z93" s="44"/>
    </row>
    <row r="94" spans="4:27" x14ac:dyDescent="0.25">
      <c r="D94" s="129">
        <v>2381301</v>
      </c>
      <c r="E94" s="107" t="s">
        <v>90</v>
      </c>
      <c r="F94" s="75">
        <v>20240008171</v>
      </c>
      <c r="G94" s="71">
        <v>110463</v>
      </c>
      <c r="H94" s="71">
        <f>G94*10%</f>
        <v>11046.300000000001</v>
      </c>
      <c r="I94" s="71">
        <f>H94*19%</f>
        <v>2098.797</v>
      </c>
      <c r="J94" s="184">
        <f>G94+H94+I94</f>
        <v>123608.09700000001</v>
      </c>
      <c r="S94" s="262"/>
      <c r="T94" s="200" t="s">
        <v>60</v>
      </c>
      <c r="U94" s="96">
        <v>20240008176</v>
      </c>
      <c r="V94" s="68">
        <v>530000</v>
      </c>
      <c r="W94" s="68">
        <v>53000</v>
      </c>
      <c r="X94" s="68">
        <v>10070</v>
      </c>
      <c r="Y94" s="99">
        <f t="shared" si="10"/>
        <v>593070</v>
      </c>
      <c r="Z94" s="44"/>
    </row>
    <row r="95" spans="4:27" x14ac:dyDescent="0.25">
      <c r="S95" s="69" t="s">
        <v>30</v>
      </c>
      <c r="T95" s="69"/>
      <c r="U95" s="199"/>
      <c r="V95" s="68">
        <v>16708955</v>
      </c>
      <c r="W95" s="68">
        <f>SUM(W89:W94)</f>
        <v>1670894.5</v>
      </c>
      <c r="X95" s="68">
        <v>317470.14500000002</v>
      </c>
      <c r="Y95" s="68">
        <f>SUM(Y89:Y94)</f>
        <v>18697319.645</v>
      </c>
      <c r="Z95" s="44"/>
    </row>
    <row r="97" spans="4:23" x14ac:dyDescent="0.25">
      <c r="W97" s="114"/>
    </row>
    <row r="98" spans="4:23" x14ac:dyDescent="0.25">
      <c r="V98" s="44"/>
      <c r="W98" s="44"/>
    </row>
    <row r="101" spans="4:23" x14ac:dyDescent="0.25">
      <c r="W101" s="44"/>
    </row>
    <row r="103" spans="4:23" x14ac:dyDescent="0.25">
      <c r="D103" s="158" t="s">
        <v>32</v>
      </c>
      <c r="E103" s="158" t="s">
        <v>48</v>
      </c>
      <c r="F103" s="158" t="s">
        <v>49</v>
      </c>
      <c r="G103" s="158" t="s">
        <v>50</v>
      </c>
      <c r="H103" s="158" t="s">
        <v>209</v>
      </c>
      <c r="I103" s="159" t="s">
        <v>53</v>
      </c>
    </row>
    <row r="104" spans="4:23" x14ac:dyDescent="0.25">
      <c r="D104" s="160">
        <v>69210</v>
      </c>
      <c r="E104" s="158" t="s">
        <v>208</v>
      </c>
      <c r="F104" s="161">
        <v>20240022565</v>
      </c>
      <c r="G104" s="162">
        <v>18470359</v>
      </c>
      <c r="H104" s="161"/>
      <c r="I104" s="163">
        <v>36932585</v>
      </c>
    </row>
    <row r="105" spans="4:23" x14ac:dyDescent="0.25">
      <c r="D105" s="69" t="s">
        <v>30</v>
      </c>
      <c r="E105" s="158"/>
      <c r="F105" s="161"/>
      <c r="G105" s="161"/>
      <c r="H105" s="161"/>
      <c r="I105" s="165">
        <f>I104</f>
        <v>36932585</v>
      </c>
    </row>
    <row r="108" spans="4:23" x14ac:dyDescent="0.25">
      <c r="J108" s="45">
        <f>58366269-36932585</f>
        <v>21433684</v>
      </c>
    </row>
    <row r="111" spans="4:23" x14ac:dyDescent="0.25">
      <c r="J111" s="10">
        <v>45523</v>
      </c>
    </row>
    <row r="112" spans="4:23" x14ac:dyDescent="0.25">
      <c r="J112" s="10">
        <v>45657</v>
      </c>
    </row>
    <row r="113" spans="3:11" x14ac:dyDescent="0.25">
      <c r="G113" s="256" t="s">
        <v>38</v>
      </c>
      <c r="J113">
        <f>J112-J111</f>
        <v>134</v>
      </c>
    </row>
    <row r="114" spans="3:11" x14ac:dyDescent="0.25">
      <c r="G114" s="256"/>
    </row>
    <row r="117" spans="3:11" x14ac:dyDescent="0.25">
      <c r="D117" s="70" t="s">
        <v>210</v>
      </c>
      <c r="E117" s="70" t="s">
        <v>32</v>
      </c>
      <c r="F117" s="70" t="s">
        <v>6</v>
      </c>
      <c r="G117" s="70" t="s">
        <v>211</v>
      </c>
      <c r="H117" s="70" t="s">
        <v>21</v>
      </c>
    </row>
    <row r="118" spans="3:11" ht="15" customHeight="1" x14ac:dyDescent="0.25">
      <c r="C118" t="s">
        <v>213</v>
      </c>
      <c r="D118" s="81">
        <v>2</v>
      </c>
      <c r="E118" s="80">
        <v>85330</v>
      </c>
      <c r="F118" s="81">
        <v>2120202008</v>
      </c>
      <c r="G118" s="70" t="s">
        <v>38</v>
      </c>
      <c r="H118" s="163">
        <v>147730936</v>
      </c>
    </row>
    <row r="119" spans="3:11" x14ac:dyDescent="0.25">
      <c r="C119" t="s">
        <v>63</v>
      </c>
      <c r="D119" s="204">
        <v>15</v>
      </c>
      <c r="E119" s="129">
        <v>2719009</v>
      </c>
      <c r="F119" s="109">
        <v>2120201002</v>
      </c>
      <c r="G119" s="70" t="s">
        <v>90</v>
      </c>
      <c r="H119" s="163">
        <v>1750000</v>
      </c>
    </row>
    <row r="120" spans="3:11" x14ac:dyDescent="0.25">
      <c r="C120" t="s">
        <v>64</v>
      </c>
      <c r="D120" s="204">
        <v>16</v>
      </c>
      <c r="E120" s="129">
        <v>2221101</v>
      </c>
      <c r="F120" s="109">
        <v>2120201002</v>
      </c>
      <c r="G120" s="70" t="s">
        <v>90</v>
      </c>
      <c r="H120" s="163">
        <v>4630270</v>
      </c>
    </row>
    <row r="121" spans="3:11" x14ac:dyDescent="0.25">
      <c r="C121" t="s">
        <v>65</v>
      </c>
      <c r="D121" s="204">
        <v>17</v>
      </c>
      <c r="E121" s="129">
        <v>2381301</v>
      </c>
      <c r="F121" s="109">
        <v>2120201002</v>
      </c>
      <c r="G121" s="70" t="s">
        <v>90</v>
      </c>
      <c r="H121" s="163">
        <v>8900000</v>
      </c>
      <c r="J121" s="163">
        <v>20055270</v>
      </c>
      <c r="K121" s="207">
        <f>H119+H120+H122</f>
        <v>11155270</v>
      </c>
    </row>
    <row r="122" spans="3:11" x14ac:dyDescent="0.25">
      <c r="C122" t="s">
        <v>67</v>
      </c>
      <c r="D122" s="204">
        <v>18</v>
      </c>
      <c r="E122" s="129">
        <v>2391102</v>
      </c>
      <c r="F122" s="109">
        <v>2120201002</v>
      </c>
      <c r="G122" s="70" t="s">
        <v>90</v>
      </c>
      <c r="H122" s="163">
        <v>4775000</v>
      </c>
      <c r="K122" s="44">
        <f>J121-K121</f>
        <v>8900000</v>
      </c>
    </row>
    <row r="123" spans="3:11" x14ac:dyDescent="0.25">
      <c r="D123" s="203"/>
      <c r="E123" s="70"/>
      <c r="F123" s="70"/>
      <c r="G123" s="70"/>
      <c r="H123" s="163"/>
    </row>
    <row r="124" spans="3:11" x14ac:dyDescent="0.25">
      <c r="C124" t="s">
        <v>81</v>
      </c>
      <c r="D124" s="205">
        <v>339</v>
      </c>
      <c r="E124" s="138">
        <v>3212899</v>
      </c>
      <c r="F124" s="106" t="s">
        <v>60</v>
      </c>
      <c r="G124" s="70" t="s">
        <v>212</v>
      </c>
      <c r="H124" s="163">
        <v>18421547</v>
      </c>
      <c r="J124" s="163">
        <f>H124-H126</f>
        <v>15621547</v>
      </c>
      <c r="K124" s="207">
        <f>H120-184730</f>
        <v>4445540</v>
      </c>
    </row>
    <row r="125" spans="3:11" x14ac:dyDescent="0.25">
      <c r="C125" t="s">
        <v>82</v>
      </c>
      <c r="D125" s="205">
        <v>340</v>
      </c>
      <c r="E125" s="138">
        <v>3532212</v>
      </c>
      <c r="F125" s="106" t="s">
        <v>60</v>
      </c>
      <c r="G125" s="70" t="s">
        <v>212</v>
      </c>
      <c r="H125" s="163">
        <v>1039330</v>
      </c>
      <c r="J125" s="163"/>
    </row>
    <row r="126" spans="3:11" x14ac:dyDescent="0.25">
      <c r="C126" t="s">
        <v>84</v>
      </c>
      <c r="D126" s="206">
        <v>342</v>
      </c>
      <c r="E126" s="138">
        <v>3212899</v>
      </c>
      <c r="F126" s="106" t="s">
        <v>60</v>
      </c>
      <c r="G126" s="70" t="s">
        <v>212</v>
      </c>
      <c r="H126" s="163">
        <v>2800000</v>
      </c>
    </row>
    <row r="127" spans="3:11" x14ac:dyDescent="0.25">
      <c r="D127" s="70"/>
      <c r="E127" s="70"/>
      <c r="F127" s="70"/>
      <c r="G127" s="70"/>
      <c r="H127" s="71">
        <f>SUM(H118:H126)</f>
        <v>190047083</v>
      </c>
      <c r="K127">
        <v>20240000</v>
      </c>
    </row>
    <row r="128" spans="3:11" x14ac:dyDescent="0.25">
      <c r="K128">
        <f>K127-20055270</f>
        <v>184730</v>
      </c>
    </row>
    <row r="131" spans="4:18" x14ac:dyDescent="0.25">
      <c r="D131" t="s">
        <v>214</v>
      </c>
    </row>
    <row r="132" spans="4:18" x14ac:dyDescent="0.25">
      <c r="D132" s="158" t="s">
        <v>32</v>
      </c>
      <c r="E132" s="158" t="s">
        <v>48</v>
      </c>
      <c r="F132" s="72" t="s">
        <v>6</v>
      </c>
      <c r="G132" s="158" t="s">
        <v>49</v>
      </c>
      <c r="H132" s="158" t="s">
        <v>50</v>
      </c>
      <c r="I132" s="121" t="s">
        <v>87</v>
      </c>
      <c r="J132" s="121" t="s">
        <v>176</v>
      </c>
      <c r="K132" s="159" t="s">
        <v>53</v>
      </c>
    </row>
    <row r="133" spans="4:18" ht="22.5" customHeight="1" x14ac:dyDescent="0.25">
      <c r="D133" s="263">
        <v>85330</v>
      </c>
      <c r="E133" s="259" t="s">
        <v>38</v>
      </c>
      <c r="F133" s="259">
        <v>2120202008</v>
      </c>
      <c r="G133" s="161">
        <v>20259000002</v>
      </c>
      <c r="H133" s="162">
        <v>19100000</v>
      </c>
      <c r="I133" s="162">
        <v>1910000</v>
      </c>
      <c r="J133" s="63">
        <v>362900</v>
      </c>
      <c r="K133" s="202">
        <v>21372900</v>
      </c>
      <c r="L133">
        <v>21433684</v>
      </c>
      <c r="M133" s="214"/>
      <c r="N133" s="214"/>
    </row>
    <row r="134" spans="4:18" x14ac:dyDescent="0.25">
      <c r="D134" s="264"/>
      <c r="E134" s="260"/>
      <c r="F134" s="260"/>
      <c r="G134" s="161">
        <v>20250000790</v>
      </c>
      <c r="H134" s="162">
        <v>17040466</v>
      </c>
      <c r="I134" s="162">
        <v>1704046.6</v>
      </c>
      <c r="J134" s="63">
        <v>323768.85399999999</v>
      </c>
      <c r="K134" s="202">
        <v>19068281.454</v>
      </c>
    </row>
    <row r="135" spans="4:18" x14ac:dyDescent="0.25">
      <c r="D135" s="261" t="s">
        <v>30</v>
      </c>
      <c r="E135" s="261"/>
      <c r="F135" s="261"/>
      <c r="G135" s="261"/>
      <c r="H135" s="215">
        <v>36140466</v>
      </c>
      <c r="I135" s="216">
        <v>3614046.6</v>
      </c>
      <c r="J135" s="68">
        <v>686668.85400000005</v>
      </c>
      <c r="K135" s="216">
        <v>40441181.453999996</v>
      </c>
      <c r="M135" s="44"/>
      <c r="N135" s="44"/>
    </row>
    <row r="136" spans="4:18" x14ac:dyDescent="0.25">
      <c r="I136" s="213"/>
      <c r="J136" s="213"/>
      <c r="L136">
        <f>40441181-40395900</f>
        <v>45281</v>
      </c>
    </row>
    <row r="137" spans="4:18" x14ac:dyDescent="0.25">
      <c r="G137" s="213"/>
    </row>
    <row r="138" spans="4:18" x14ac:dyDescent="0.25">
      <c r="D138" s="69" t="s">
        <v>30</v>
      </c>
      <c r="I138" s="162"/>
    </row>
    <row r="141" spans="4:18" x14ac:dyDescent="0.25">
      <c r="D141" t="s">
        <v>215</v>
      </c>
      <c r="K141" s="63">
        <f>H133</f>
        <v>19100000</v>
      </c>
      <c r="L141" s="71">
        <v>399646</v>
      </c>
      <c r="M141" s="71">
        <f>K141+L141</f>
        <v>19499646</v>
      </c>
      <c r="P141" s="44">
        <f>K141+K142</f>
        <v>37820513</v>
      </c>
      <c r="Q141" s="44">
        <f>P141*10%</f>
        <v>3782051.3000000003</v>
      </c>
      <c r="R141" s="44">
        <f>Q141*19%</f>
        <v>718589.74700000009</v>
      </c>
    </row>
    <row r="142" spans="4:18" x14ac:dyDescent="0.25">
      <c r="K142" s="71">
        <f>15106466+3614047</f>
        <v>18720513</v>
      </c>
      <c r="L142" s="71">
        <v>287022.85399999999</v>
      </c>
      <c r="M142" s="71">
        <f>K142+L142</f>
        <v>19007535.853999998</v>
      </c>
      <c r="P142" s="44"/>
    </row>
    <row r="143" spans="4:18" x14ac:dyDescent="0.25">
      <c r="K143" s="71">
        <f>SUM(K141:K142)</f>
        <v>37820513</v>
      </c>
      <c r="L143" s="71">
        <f>SUM(L141:L142)</f>
        <v>686668.85400000005</v>
      </c>
      <c r="M143" s="71">
        <f>SUM(M141:M142)</f>
        <v>38507181.854000002</v>
      </c>
      <c r="P143" s="44"/>
    </row>
    <row r="144" spans="4:18" x14ac:dyDescent="0.25">
      <c r="P144" s="44"/>
    </row>
    <row r="145" spans="4:16" x14ac:dyDescent="0.25">
      <c r="O145" s="44"/>
      <c r="P145" s="44"/>
    </row>
    <row r="146" spans="4:16" x14ac:dyDescent="0.25">
      <c r="P146" s="44"/>
    </row>
    <row r="147" spans="4:16" ht="18" x14ac:dyDescent="0.25">
      <c r="D147" s="121" t="s">
        <v>48</v>
      </c>
      <c r="E147" s="121"/>
      <c r="F147" s="121" t="s">
        <v>49</v>
      </c>
      <c r="G147" s="121" t="s">
        <v>50</v>
      </c>
      <c r="H147" s="121" t="s">
        <v>87</v>
      </c>
      <c r="I147" s="121" t="s">
        <v>176</v>
      </c>
      <c r="J147" s="121" t="s">
        <v>53</v>
      </c>
      <c r="P147" s="44"/>
    </row>
    <row r="148" spans="4:16" x14ac:dyDescent="0.25">
      <c r="D148" s="221" t="s">
        <v>219</v>
      </c>
      <c r="E148" s="200" t="s">
        <v>60</v>
      </c>
      <c r="F148" s="109">
        <v>20259000003</v>
      </c>
      <c r="G148" s="71">
        <v>446827</v>
      </c>
      <c r="H148" s="71">
        <v>44682.7</v>
      </c>
      <c r="I148" s="71">
        <v>8489.7129999999997</v>
      </c>
      <c r="J148" s="217">
        <v>499999.413</v>
      </c>
      <c r="K148" s="44">
        <f>K141*10%</f>
        <v>1910000</v>
      </c>
      <c r="L148" s="44">
        <f>K148*19%</f>
        <v>362900</v>
      </c>
      <c r="P148" s="44"/>
    </row>
    <row r="149" spans="4:16" x14ac:dyDescent="0.25">
      <c r="D149" s="222"/>
      <c r="E149" s="200" t="s">
        <v>60</v>
      </c>
      <c r="F149" s="109">
        <v>20250000795</v>
      </c>
      <c r="G149" s="71">
        <v>4385780</v>
      </c>
      <c r="H149" s="71">
        <v>438578</v>
      </c>
      <c r="I149" s="71">
        <v>83329.820000000007</v>
      </c>
      <c r="J149" s="217">
        <v>4907687.82</v>
      </c>
      <c r="K149" s="44">
        <f>K142*10%</f>
        <v>1872051.3</v>
      </c>
      <c r="L149" s="44">
        <f>K149*19%</f>
        <v>355689.74700000003</v>
      </c>
      <c r="M149" s="44"/>
      <c r="N149" s="44"/>
      <c r="O149" s="44"/>
      <c r="P149" s="44"/>
    </row>
    <row r="150" spans="4:16" x14ac:dyDescent="0.25">
      <c r="D150" s="218" t="s">
        <v>30</v>
      </c>
      <c r="E150" s="219"/>
      <c r="F150" s="220"/>
      <c r="G150" s="68">
        <v>4832607</v>
      </c>
      <c r="H150" s="68">
        <v>483260.7</v>
      </c>
      <c r="I150" s="68">
        <v>91819.53300000001</v>
      </c>
      <c r="J150" s="68">
        <v>5407687.233</v>
      </c>
      <c r="K150" s="44">
        <f>SUM(K148:K149)</f>
        <v>3782051.3</v>
      </c>
      <c r="L150" s="44"/>
      <c r="M150" s="44"/>
      <c r="N150" s="44"/>
      <c r="O150" s="44"/>
      <c r="P150" s="44"/>
    </row>
    <row r="151" spans="4:16" ht="30" x14ac:dyDescent="0.25">
      <c r="D151" s="201" t="s">
        <v>66</v>
      </c>
      <c r="E151" s="72">
        <v>2120201002</v>
      </c>
      <c r="F151" s="109">
        <v>20250000794</v>
      </c>
      <c r="G151" s="71">
        <v>5160804</v>
      </c>
      <c r="H151" s="71">
        <v>516080</v>
      </c>
      <c r="I151" s="71">
        <v>98055</v>
      </c>
      <c r="J151" s="217">
        <f>SUM(G151:I151)</f>
        <v>5774939</v>
      </c>
      <c r="K151" s="44"/>
      <c r="L151" s="44"/>
      <c r="M151" s="44"/>
      <c r="N151" s="44"/>
      <c r="O151" s="44"/>
      <c r="P151" s="44"/>
    </row>
    <row r="152" spans="4:16" x14ac:dyDescent="0.25">
      <c r="D152" s="218" t="s">
        <v>30</v>
      </c>
      <c r="E152" s="219"/>
      <c r="F152" s="220"/>
      <c r="G152" s="68">
        <v>5160804</v>
      </c>
      <c r="H152" s="68">
        <v>516080.4</v>
      </c>
      <c r="I152" s="68">
        <v>98055.275999999998</v>
      </c>
      <c r="J152" s="99">
        <v>11182626.909</v>
      </c>
      <c r="K152" s="44"/>
      <c r="L152" s="44">
        <f>11182627-11179046</f>
        <v>3581</v>
      </c>
      <c r="M152" s="44"/>
      <c r="N152" s="44"/>
      <c r="O152" s="44"/>
    </row>
    <row r="153" spans="4:16" x14ac:dyDescent="0.25">
      <c r="L153" s="44"/>
      <c r="M153" s="44"/>
      <c r="N153" s="44"/>
      <c r="O153" s="44"/>
    </row>
    <row r="154" spans="4:16" x14ac:dyDescent="0.25">
      <c r="L154" s="44"/>
      <c r="M154" s="44"/>
      <c r="N154" s="44"/>
      <c r="O154" s="44"/>
    </row>
    <row r="155" spans="4:16" x14ac:dyDescent="0.25">
      <c r="K155">
        <f>705-627</f>
        <v>78</v>
      </c>
      <c r="O155" s="146"/>
    </row>
    <row r="157" spans="4:16" x14ac:dyDescent="0.25">
      <c r="D157" s="44">
        <f>F157+I157</f>
        <v>9993410</v>
      </c>
      <c r="F157" s="45">
        <f>5404330+268220</f>
        <v>5672550</v>
      </c>
      <c r="I157" s="45">
        <f>4320860</f>
        <v>4320860</v>
      </c>
    </row>
    <row r="158" spans="4:16" x14ac:dyDescent="0.25">
      <c r="F158" s="44">
        <f>F157-G148</f>
        <v>5225723</v>
      </c>
      <c r="G158" s="44">
        <f>F158*10%</f>
        <v>522572.30000000005</v>
      </c>
    </row>
    <row r="159" spans="4:16" x14ac:dyDescent="0.25">
      <c r="F159" s="44">
        <f>F158-522572</f>
        <v>4703151</v>
      </c>
    </row>
  </sheetData>
  <mergeCells count="7">
    <mergeCell ref="F133:F134"/>
    <mergeCell ref="D135:G135"/>
    <mergeCell ref="S89:S90"/>
    <mergeCell ref="S91:S94"/>
    <mergeCell ref="G113:G114"/>
    <mergeCell ref="D133:D134"/>
    <mergeCell ref="E133:E13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3B27-9DB9-4679-B981-2B177E0A2EC4}">
  <dimension ref="C3:H36"/>
  <sheetViews>
    <sheetView topLeftCell="A10" workbookViewId="0">
      <selection activeCell="M36" sqref="M36"/>
    </sheetView>
  </sheetViews>
  <sheetFormatPr baseColWidth="10" defaultRowHeight="15" x14ac:dyDescent="0.25"/>
  <cols>
    <col min="3" max="3" width="27.140625" bestFit="1" customWidth="1"/>
    <col min="4" max="4" width="12" bestFit="1" customWidth="1"/>
    <col min="5" max="5" width="14.7109375" customWidth="1"/>
    <col min="6" max="6" width="19.85546875" bestFit="1" customWidth="1"/>
    <col min="7" max="7" width="14.42578125" bestFit="1" customWidth="1"/>
    <col min="8" max="8" width="14.28515625" customWidth="1"/>
  </cols>
  <sheetData>
    <row r="3" spans="3:8" x14ac:dyDescent="0.25">
      <c r="C3" s="70" t="s">
        <v>220</v>
      </c>
      <c r="D3" s="70" t="s">
        <v>221</v>
      </c>
      <c r="E3" s="70" t="s">
        <v>50</v>
      </c>
      <c r="F3" s="70" t="s">
        <v>222</v>
      </c>
      <c r="G3" s="70" t="s">
        <v>52</v>
      </c>
      <c r="H3" s="70" t="s">
        <v>53</v>
      </c>
    </row>
    <row r="4" spans="3:8" x14ac:dyDescent="0.25">
      <c r="C4" s="70" t="s">
        <v>38</v>
      </c>
      <c r="D4" s="70">
        <v>20259000003</v>
      </c>
      <c r="E4" s="202">
        <v>19100000</v>
      </c>
      <c r="F4" s="202">
        <v>1910000</v>
      </c>
      <c r="G4" s="202">
        <v>362900</v>
      </c>
      <c r="H4" s="202">
        <v>21372900</v>
      </c>
    </row>
    <row r="5" spans="3:8" x14ac:dyDescent="0.25">
      <c r="C5" s="70" t="s">
        <v>223</v>
      </c>
      <c r="D5" s="70" t="s">
        <v>223</v>
      </c>
      <c r="E5" s="70"/>
      <c r="F5" s="70"/>
      <c r="G5" s="70"/>
      <c r="H5" s="70"/>
    </row>
    <row r="6" spans="3:8" x14ac:dyDescent="0.25">
      <c r="C6" s="70" t="s">
        <v>30</v>
      </c>
      <c r="D6" s="70" t="s">
        <v>223</v>
      </c>
      <c r="E6" s="202">
        <v>19100000</v>
      </c>
      <c r="F6" s="202">
        <v>1910000</v>
      </c>
      <c r="G6" s="202">
        <v>362900</v>
      </c>
      <c r="H6" s="202">
        <v>21372900</v>
      </c>
    </row>
    <row r="10" spans="3:8" x14ac:dyDescent="0.25">
      <c r="C10" s="70" t="s">
        <v>220</v>
      </c>
      <c r="D10" s="70" t="s">
        <v>221</v>
      </c>
      <c r="E10" s="70" t="s">
        <v>50</v>
      </c>
      <c r="F10" s="70" t="s">
        <v>222</v>
      </c>
      <c r="G10" s="70" t="s">
        <v>52</v>
      </c>
      <c r="H10" s="70" t="s">
        <v>53</v>
      </c>
    </row>
    <row r="11" spans="3:8" x14ac:dyDescent="0.25">
      <c r="C11" s="70" t="s">
        <v>224</v>
      </c>
      <c r="D11" s="70">
        <v>20250000790</v>
      </c>
      <c r="E11" s="202">
        <v>17040466</v>
      </c>
      <c r="F11" s="202">
        <v>1704046</v>
      </c>
      <c r="G11" s="202">
        <v>323769</v>
      </c>
      <c r="H11" s="202">
        <v>19068281</v>
      </c>
    </row>
    <row r="12" spans="3:8" x14ac:dyDescent="0.25">
      <c r="C12" s="70" t="s">
        <v>30</v>
      </c>
      <c r="D12" s="70" t="s">
        <v>223</v>
      </c>
      <c r="E12" s="202">
        <v>17040466</v>
      </c>
      <c r="F12" s="202">
        <v>1704047</v>
      </c>
      <c r="G12" s="202">
        <v>323769</v>
      </c>
      <c r="H12" s="202">
        <v>19068281</v>
      </c>
    </row>
    <row r="15" spans="3:8" x14ac:dyDescent="0.25">
      <c r="C15" s="70" t="s">
        <v>220</v>
      </c>
      <c r="D15" s="70" t="s">
        <v>221</v>
      </c>
      <c r="E15" s="70" t="s">
        <v>50</v>
      </c>
      <c r="F15" s="70" t="s">
        <v>222</v>
      </c>
      <c r="G15" s="70" t="s">
        <v>52</v>
      </c>
      <c r="H15" s="70" t="s">
        <v>53</v>
      </c>
    </row>
    <row r="16" spans="3:8" x14ac:dyDescent="0.25">
      <c r="C16" s="70" t="s">
        <v>66</v>
      </c>
      <c r="D16" s="70">
        <v>20250000794</v>
      </c>
      <c r="E16" s="202">
        <v>5160804</v>
      </c>
      <c r="F16" s="202">
        <v>516080</v>
      </c>
      <c r="G16" s="202">
        <v>98055</v>
      </c>
      <c r="H16" s="202">
        <v>5774940</v>
      </c>
    </row>
    <row r="17" spans="3:8" x14ac:dyDescent="0.25">
      <c r="C17" s="70"/>
      <c r="D17" s="70" t="s">
        <v>30</v>
      </c>
      <c r="E17" s="202">
        <v>5160804</v>
      </c>
      <c r="F17" s="202">
        <v>516080</v>
      </c>
      <c r="G17" s="202">
        <v>98055</v>
      </c>
      <c r="H17" s="202">
        <v>5774940</v>
      </c>
    </row>
    <row r="20" spans="3:8" x14ac:dyDescent="0.25">
      <c r="C20" s="70" t="s">
        <v>220</v>
      </c>
      <c r="D20" s="70" t="s">
        <v>221</v>
      </c>
      <c r="E20" s="70" t="s">
        <v>50</v>
      </c>
      <c r="F20" s="70" t="s">
        <v>222</v>
      </c>
      <c r="G20" s="70" t="s">
        <v>52</v>
      </c>
      <c r="H20" s="70" t="s">
        <v>53</v>
      </c>
    </row>
    <row r="21" spans="3:8" x14ac:dyDescent="0.25">
      <c r="C21" s="70" t="s">
        <v>66</v>
      </c>
      <c r="D21" s="70">
        <v>20259000003</v>
      </c>
      <c r="E21" s="202">
        <v>446827</v>
      </c>
      <c r="F21" s="202">
        <v>44683</v>
      </c>
      <c r="G21" s="202">
        <v>8490</v>
      </c>
      <c r="H21" s="202">
        <v>500000</v>
      </c>
    </row>
    <row r="22" spans="3:8" x14ac:dyDescent="0.25">
      <c r="C22" s="70"/>
      <c r="D22" s="70">
        <v>20250000795</v>
      </c>
      <c r="E22" s="202">
        <v>4385780</v>
      </c>
      <c r="F22" s="202">
        <v>438578</v>
      </c>
      <c r="G22" s="202">
        <v>83329</v>
      </c>
      <c r="H22" s="202">
        <v>4907687</v>
      </c>
    </row>
    <row r="23" spans="3:8" x14ac:dyDescent="0.25">
      <c r="C23" s="70"/>
      <c r="D23" s="70" t="s">
        <v>30</v>
      </c>
      <c r="E23" s="202">
        <v>4832607</v>
      </c>
      <c r="F23" s="202">
        <v>483261</v>
      </c>
      <c r="G23" s="202">
        <v>91819</v>
      </c>
      <c r="H23" s="202">
        <v>5407687</v>
      </c>
    </row>
    <row r="27" spans="3:8" x14ac:dyDescent="0.25">
      <c r="C27" t="s">
        <v>237</v>
      </c>
    </row>
    <row r="28" spans="3:8" x14ac:dyDescent="0.25">
      <c r="C28" s="70" t="s">
        <v>238</v>
      </c>
      <c r="D28" s="70" t="s">
        <v>221</v>
      </c>
      <c r="E28" s="70" t="s">
        <v>50</v>
      </c>
      <c r="F28" s="70" t="s">
        <v>222</v>
      </c>
      <c r="G28" s="70" t="s">
        <v>52</v>
      </c>
      <c r="H28" s="70" t="s">
        <v>53</v>
      </c>
    </row>
    <row r="29" spans="3:8" x14ac:dyDescent="0.25">
      <c r="C29" s="70" t="s">
        <v>224</v>
      </c>
      <c r="D29" s="70">
        <v>20250000790</v>
      </c>
      <c r="E29" s="202">
        <v>36140466</v>
      </c>
      <c r="F29" s="202">
        <f>E29*10%</f>
        <v>3614046.6</v>
      </c>
      <c r="G29" s="202">
        <f>F29*19%</f>
        <v>686668.85400000005</v>
      </c>
      <c r="H29" s="202">
        <f>E29+F29+G29</f>
        <v>40441181.454000004</v>
      </c>
    </row>
    <row r="30" spans="3:8" x14ac:dyDescent="0.25">
      <c r="C30" s="70" t="s">
        <v>30</v>
      </c>
      <c r="D30" s="70" t="s">
        <v>223</v>
      </c>
      <c r="E30" s="202"/>
      <c r="F30" s="202"/>
      <c r="G30" s="202"/>
      <c r="H30" s="202"/>
    </row>
    <row r="32" spans="3:8" x14ac:dyDescent="0.25">
      <c r="C32" t="s">
        <v>239</v>
      </c>
    </row>
    <row r="33" spans="3:8" x14ac:dyDescent="0.25">
      <c r="C33" s="70" t="s">
        <v>238</v>
      </c>
      <c r="D33" s="70" t="s">
        <v>221</v>
      </c>
      <c r="E33" s="70" t="s">
        <v>50</v>
      </c>
      <c r="F33" s="70" t="s">
        <v>222</v>
      </c>
      <c r="G33" s="70" t="s">
        <v>52</v>
      </c>
      <c r="H33" s="70" t="s">
        <v>53</v>
      </c>
    </row>
    <row r="34" spans="3:8" x14ac:dyDescent="0.25">
      <c r="C34" s="70" t="s">
        <v>66</v>
      </c>
      <c r="D34" s="70">
        <v>20250000791</v>
      </c>
      <c r="E34" s="229">
        <v>502239</v>
      </c>
      <c r="F34" s="227">
        <f>E34*10%</f>
        <v>50223.9</v>
      </c>
      <c r="G34" s="227">
        <f>F34*19%</f>
        <v>9542.5410000000011</v>
      </c>
      <c r="H34" s="227">
        <f>E34+F34+G34</f>
        <v>562005.44099999999</v>
      </c>
    </row>
    <row r="35" spans="3:8" x14ac:dyDescent="0.25">
      <c r="C35" s="70"/>
      <c r="D35" s="70">
        <v>20250000793</v>
      </c>
      <c r="E35" s="229">
        <v>9263112</v>
      </c>
      <c r="F35" s="227">
        <f>E35*10%</f>
        <v>926311.20000000007</v>
      </c>
      <c r="G35" s="227">
        <f>F35*19%</f>
        <v>175999.12800000003</v>
      </c>
      <c r="H35" s="227">
        <f>E35+F35+G35</f>
        <v>10365422.328</v>
      </c>
    </row>
    <row r="36" spans="3:8" x14ac:dyDescent="0.25">
      <c r="C36" s="70"/>
      <c r="D36" s="70" t="s">
        <v>30</v>
      </c>
      <c r="E36" s="227">
        <f>SUM(E34:E35)</f>
        <v>9765351</v>
      </c>
      <c r="F36" s="227">
        <f>SUM(F34:F35)</f>
        <v>976535.10000000009</v>
      </c>
      <c r="G36" s="227">
        <f>SUM(G34:G35)</f>
        <v>185541.66900000002</v>
      </c>
      <c r="H36" s="227">
        <f>SUM(H34:H35)</f>
        <v>10927427.768999999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868D-5AC4-4852-8E25-E92161CFFCAE}">
  <dimension ref="C1:X27"/>
  <sheetViews>
    <sheetView topLeftCell="C10" workbookViewId="0">
      <selection activeCell="O2" sqref="O2:P2"/>
    </sheetView>
  </sheetViews>
  <sheetFormatPr baseColWidth="10" defaultRowHeight="15" x14ac:dyDescent="0.25"/>
  <cols>
    <col min="4" max="4" width="11" bestFit="1" customWidth="1"/>
    <col min="5" max="6" width="15.85546875" customWidth="1"/>
    <col min="7" max="11" width="12.5703125" bestFit="1" customWidth="1"/>
    <col min="12" max="12" width="13.5703125" bestFit="1" customWidth="1"/>
    <col min="14" max="14" width="14" customWidth="1"/>
    <col min="15" max="15" width="18.42578125" bestFit="1" customWidth="1"/>
    <col min="16" max="16" width="15.5703125" bestFit="1" customWidth="1"/>
    <col min="17" max="17" width="14.5703125" bestFit="1" customWidth="1"/>
    <col min="18" max="18" width="17.85546875" customWidth="1"/>
    <col min="19" max="19" width="15.5703125" bestFit="1" customWidth="1"/>
    <col min="20" max="20" width="13.5703125" bestFit="1" customWidth="1"/>
    <col min="21" max="22" width="12.5703125" bestFit="1" customWidth="1"/>
  </cols>
  <sheetData>
    <row r="1" spans="3:24" x14ac:dyDescent="0.25">
      <c r="E1" t="s">
        <v>43</v>
      </c>
      <c r="F1" t="s">
        <v>42</v>
      </c>
      <c r="H1" s="136" t="s">
        <v>228</v>
      </c>
      <c r="I1" s="136" t="s">
        <v>229</v>
      </c>
      <c r="J1" s="136" t="s">
        <v>225</v>
      </c>
      <c r="K1" s="136" t="s">
        <v>230</v>
      </c>
      <c r="O1" s="136" t="s">
        <v>231</v>
      </c>
      <c r="P1" s="136" t="s">
        <v>232</v>
      </c>
      <c r="Q1" s="136" t="s">
        <v>243</v>
      </c>
      <c r="R1" s="136" t="s">
        <v>244</v>
      </c>
      <c r="S1" s="136" t="s">
        <v>233</v>
      </c>
      <c r="T1" s="136" t="s">
        <v>41</v>
      </c>
    </row>
    <row r="2" spans="3:24" x14ac:dyDescent="0.25">
      <c r="C2" s="150">
        <v>286</v>
      </c>
      <c r="D2" s="150" t="s">
        <v>226</v>
      </c>
      <c r="E2" s="150">
        <v>20250000138</v>
      </c>
      <c r="F2" s="150">
        <v>20250000790</v>
      </c>
      <c r="G2" s="223">
        <v>130007082</v>
      </c>
      <c r="H2" s="224">
        <v>38000000</v>
      </c>
      <c r="I2" s="224">
        <v>38000000</v>
      </c>
      <c r="J2" s="224">
        <v>38000000</v>
      </c>
      <c r="K2" s="224">
        <v>16007082</v>
      </c>
      <c r="L2" s="227">
        <f>H2+I2+J2+K2</f>
        <v>130007082</v>
      </c>
      <c r="N2" s="150">
        <v>20250000790</v>
      </c>
      <c r="O2" s="224">
        <v>19068282</v>
      </c>
      <c r="P2" s="142">
        <f>40441181</f>
        <v>40441181</v>
      </c>
      <c r="Q2" s="142"/>
      <c r="R2" s="142"/>
      <c r="S2" s="227">
        <f>SUM(O2:R2)</f>
        <v>59509463</v>
      </c>
      <c r="T2" s="227">
        <f t="shared" ref="T2:T10" si="0">L2-S2</f>
        <v>70497619</v>
      </c>
      <c r="V2" s="226">
        <f>P2/30</f>
        <v>1348039.3666666667</v>
      </c>
      <c r="W2" s="226">
        <f>V2*22</f>
        <v>29656866.066666666</v>
      </c>
      <c r="X2" s="226">
        <f>P2+W2</f>
        <v>70098047.066666663</v>
      </c>
    </row>
    <row r="3" spans="3:24" x14ac:dyDescent="0.25">
      <c r="C3" s="70">
        <v>287</v>
      </c>
      <c r="D3" s="70" t="s">
        <v>227</v>
      </c>
      <c r="E3" s="70">
        <v>20250000139</v>
      </c>
      <c r="F3" s="150">
        <v>20250000791</v>
      </c>
      <c r="G3" s="223">
        <v>1750000</v>
      </c>
      <c r="H3" s="225">
        <v>500000</v>
      </c>
      <c r="I3" s="225">
        <v>500000</v>
      </c>
      <c r="J3" s="225">
        <v>500000</v>
      </c>
      <c r="K3" s="225">
        <v>250000</v>
      </c>
      <c r="L3" s="227">
        <f t="shared" ref="L3:L9" si="1">H3+I3+J3+K3</f>
        <v>1750000</v>
      </c>
      <c r="N3" s="150">
        <v>20250000791</v>
      </c>
      <c r="O3" s="70"/>
      <c r="P3" s="142">
        <v>562006</v>
      </c>
      <c r="Q3" s="142"/>
      <c r="R3" s="142"/>
      <c r="S3" s="227">
        <f t="shared" ref="S3:S9" si="2">SUM(O3:R3)</f>
        <v>562006</v>
      </c>
      <c r="T3" s="227">
        <f t="shared" si="0"/>
        <v>1187994</v>
      </c>
    </row>
    <row r="4" spans="3:24" x14ac:dyDescent="0.25">
      <c r="C4" s="150">
        <v>288</v>
      </c>
      <c r="D4" s="150" t="s">
        <v>227</v>
      </c>
      <c r="E4" s="150">
        <v>20250000140</v>
      </c>
      <c r="F4" s="150">
        <v>20250000792</v>
      </c>
      <c r="G4" s="223">
        <v>7315000</v>
      </c>
      <c r="H4" s="224">
        <v>2090000</v>
      </c>
      <c r="I4" s="224">
        <v>2090000</v>
      </c>
      <c r="J4" s="224">
        <v>2090000</v>
      </c>
      <c r="K4" s="224">
        <v>1045000</v>
      </c>
      <c r="L4" s="227">
        <f t="shared" si="1"/>
        <v>7315000</v>
      </c>
      <c r="N4" s="150">
        <v>20250000792</v>
      </c>
      <c r="O4" s="70"/>
      <c r="P4" s="142"/>
      <c r="Q4" s="142"/>
      <c r="R4" s="142"/>
      <c r="S4" s="227">
        <f t="shared" si="2"/>
        <v>0</v>
      </c>
      <c r="T4" s="227">
        <f t="shared" si="0"/>
        <v>7315000</v>
      </c>
    </row>
    <row r="5" spans="3:24" x14ac:dyDescent="0.25">
      <c r="C5" s="70">
        <v>289</v>
      </c>
      <c r="D5" s="70" t="s">
        <v>227</v>
      </c>
      <c r="E5" s="70">
        <v>20250000141</v>
      </c>
      <c r="F5" s="150">
        <v>20250000793</v>
      </c>
      <c r="G5" s="223">
        <v>18900000</v>
      </c>
      <c r="H5" s="225">
        <v>5400000</v>
      </c>
      <c r="I5" s="225">
        <v>5400000</v>
      </c>
      <c r="J5" s="225">
        <v>5400000</v>
      </c>
      <c r="K5" s="225">
        <v>2700000</v>
      </c>
      <c r="L5" s="227">
        <f t="shared" si="1"/>
        <v>18900000</v>
      </c>
      <c r="N5" s="150">
        <v>20250000793</v>
      </c>
      <c r="O5" s="227">
        <v>5774939</v>
      </c>
      <c r="P5" s="142">
        <v>10365422</v>
      </c>
      <c r="Q5" s="142"/>
      <c r="R5" s="142"/>
      <c r="S5" s="227">
        <f t="shared" si="2"/>
        <v>16140361</v>
      </c>
      <c r="T5" s="227">
        <f t="shared" si="0"/>
        <v>2759639</v>
      </c>
    </row>
    <row r="6" spans="3:24" x14ac:dyDescent="0.25">
      <c r="C6" s="150">
        <v>290</v>
      </c>
      <c r="D6" s="150" t="s">
        <v>227</v>
      </c>
      <c r="E6" s="150">
        <v>20250000142</v>
      </c>
      <c r="F6" s="150">
        <v>20250000794</v>
      </c>
      <c r="G6" s="223">
        <v>5775000</v>
      </c>
      <c r="H6" s="224">
        <v>1650000</v>
      </c>
      <c r="I6" s="224">
        <v>1650000</v>
      </c>
      <c r="J6" s="224">
        <v>1650000</v>
      </c>
      <c r="K6" s="224">
        <v>825000</v>
      </c>
      <c r="L6" s="227">
        <f t="shared" si="1"/>
        <v>5775000</v>
      </c>
      <c r="N6" s="150">
        <v>20250000794</v>
      </c>
      <c r="O6" s="70"/>
      <c r="P6" s="224"/>
      <c r="Q6" s="224"/>
      <c r="R6" s="224"/>
      <c r="S6" s="227">
        <f t="shared" si="2"/>
        <v>0</v>
      </c>
      <c r="T6" s="227">
        <f t="shared" si="0"/>
        <v>5775000</v>
      </c>
    </row>
    <row r="7" spans="3:24" x14ac:dyDescent="0.25">
      <c r="C7" s="70">
        <v>292</v>
      </c>
      <c r="D7" s="70" t="s">
        <v>60</v>
      </c>
      <c r="E7" s="70">
        <v>20250000143</v>
      </c>
      <c r="F7" s="150">
        <v>20250000795</v>
      </c>
      <c r="G7" s="223">
        <v>21750000</v>
      </c>
      <c r="H7" s="225">
        <v>6500000</v>
      </c>
      <c r="I7" s="225">
        <v>6500000</v>
      </c>
      <c r="J7" s="225">
        <v>6500000</v>
      </c>
      <c r="K7" s="225">
        <v>2250000</v>
      </c>
      <c r="L7" s="227">
        <f t="shared" si="1"/>
        <v>21750000</v>
      </c>
      <c r="N7" s="150">
        <v>20250000795</v>
      </c>
      <c r="O7" s="227">
        <v>4907688</v>
      </c>
      <c r="P7" s="224"/>
      <c r="Q7" s="224"/>
      <c r="R7" s="224"/>
      <c r="S7" s="227">
        <f t="shared" si="2"/>
        <v>4907688</v>
      </c>
      <c r="T7" s="227">
        <f t="shared" si="0"/>
        <v>16842312</v>
      </c>
    </row>
    <row r="8" spans="3:24" x14ac:dyDescent="0.25">
      <c r="C8" s="150">
        <v>293</v>
      </c>
      <c r="D8" s="150" t="s">
        <v>60</v>
      </c>
      <c r="E8" s="150">
        <v>20250000144</v>
      </c>
      <c r="F8" s="150">
        <v>20250000796</v>
      </c>
      <c r="G8" s="223">
        <v>1750000</v>
      </c>
      <c r="H8" s="224">
        <v>500000</v>
      </c>
      <c r="I8" s="224">
        <v>500000</v>
      </c>
      <c r="J8" s="224">
        <v>500000</v>
      </c>
      <c r="K8" s="224">
        <v>250000</v>
      </c>
      <c r="L8" s="227">
        <f t="shared" si="1"/>
        <v>1750000</v>
      </c>
      <c r="N8" s="150">
        <v>20250000796</v>
      </c>
      <c r="O8" s="70"/>
      <c r="P8" s="224"/>
      <c r="Q8" s="224"/>
      <c r="R8" s="224"/>
      <c r="S8" s="227">
        <f t="shared" si="2"/>
        <v>0</v>
      </c>
      <c r="T8" s="227">
        <f t="shared" si="0"/>
        <v>1750000</v>
      </c>
    </row>
    <row r="9" spans="3:24" x14ac:dyDescent="0.25">
      <c r="C9" s="70">
        <v>294</v>
      </c>
      <c r="D9" s="70" t="s">
        <v>60</v>
      </c>
      <c r="E9" s="70">
        <v>20250000145</v>
      </c>
      <c r="F9" s="150">
        <v>20250000797</v>
      </c>
      <c r="G9" s="223">
        <v>2800000</v>
      </c>
      <c r="H9" s="225">
        <v>800000</v>
      </c>
      <c r="I9" s="225">
        <v>800000</v>
      </c>
      <c r="J9" s="225">
        <v>800000</v>
      </c>
      <c r="K9" s="225">
        <v>400000</v>
      </c>
      <c r="L9" s="227">
        <f t="shared" si="1"/>
        <v>2800000</v>
      </c>
      <c r="N9" s="150">
        <v>20250000797</v>
      </c>
      <c r="O9" s="70"/>
      <c r="P9" s="224"/>
      <c r="Q9" s="224"/>
      <c r="R9" s="224"/>
      <c r="S9" s="227">
        <f t="shared" si="2"/>
        <v>0</v>
      </c>
      <c r="T9" s="227">
        <f t="shared" si="0"/>
        <v>2800000</v>
      </c>
    </row>
    <row r="10" spans="3:24" x14ac:dyDescent="0.25">
      <c r="L10" s="226">
        <f>SUM(L2:L9)</f>
        <v>190047082</v>
      </c>
      <c r="O10" s="228">
        <f>SUM(O2:O8)</f>
        <v>29750909</v>
      </c>
      <c r="P10" s="142">
        <f>SUM(P2:P9)</f>
        <v>51368609</v>
      </c>
      <c r="Q10" s="142"/>
      <c r="R10" s="142"/>
      <c r="S10" s="228">
        <f>O10+P10</f>
        <v>81119518</v>
      </c>
      <c r="T10" s="228">
        <f t="shared" si="0"/>
        <v>108927564</v>
      </c>
    </row>
    <row r="12" spans="3:24" x14ac:dyDescent="0.25">
      <c r="R12" s="226">
        <f>O10+T10</f>
        <v>138678473</v>
      </c>
    </row>
    <row r="14" spans="3:24" x14ac:dyDescent="0.25">
      <c r="P14" s="142">
        <f>10927427</f>
        <v>10927427</v>
      </c>
    </row>
    <row r="17" spans="15:19" x14ac:dyDescent="0.25">
      <c r="P17" s="69" t="s">
        <v>21</v>
      </c>
      <c r="Q17" s="69" t="s">
        <v>234</v>
      </c>
      <c r="R17" s="69" t="s">
        <v>236</v>
      </c>
      <c r="S17" s="69" t="s">
        <v>235</v>
      </c>
    </row>
    <row r="18" spans="15:19" x14ac:dyDescent="0.25">
      <c r="O18">
        <v>793</v>
      </c>
      <c r="P18" s="229">
        <v>9263112</v>
      </c>
      <c r="Q18" s="232">
        <v>926311</v>
      </c>
      <c r="R18" s="232">
        <v>175999</v>
      </c>
      <c r="S18" s="227">
        <f>P18+Q18+R18</f>
        <v>10365422</v>
      </c>
    </row>
    <row r="19" spans="15:19" x14ac:dyDescent="0.25">
      <c r="O19">
        <v>791</v>
      </c>
      <c r="P19" s="229">
        <v>502239</v>
      </c>
      <c r="Q19" s="227">
        <v>50224</v>
      </c>
      <c r="R19" s="227">
        <v>9543</v>
      </c>
      <c r="S19" s="227">
        <f>P19+Q19+R19</f>
        <v>562006</v>
      </c>
    </row>
    <row r="20" spans="15:19" x14ac:dyDescent="0.25">
      <c r="P20" s="229">
        <f>SUM(P18:P19)</f>
        <v>9765351</v>
      </c>
      <c r="Q20" s="227">
        <f>SUM(Q18:Q19)</f>
        <v>976535</v>
      </c>
      <c r="R20" s="227">
        <f>SUM(R18:R19)</f>
        <v>185542</v>
      </c>
      <c r="S20" s="227">
        <f>S18+S19</f>
        <v>10927428</v>
      </c>
    </row>
    <row r="24" spans="15:19" x14ac:dyDescent="0.25">
      <c r="P24" s="226" t="s">
        <v>245</v>
      </c>
      <c r="Q24" t="s">
        <v>246</v>
      </c>
      <c r="R24" t="s">
        <v>247</v>
      </c>
      <c r="S24" t="s">
        <v>248</v>
      </c>
    </row>
    <row r="25" spans="15:19" x14ac:dyDescent="0.25">
      <c r="P25" s="143">
        <v>17040466</v>
      </c>
      <c r="Q25" s="143">
        <f>P25*0.1</f>
        <v>1704046.6</v>
      </c>
      <c r="R25" s="143">
        <f>Q25*0.19</f>
        <v>323768.85400000005</v>
      </c>
      <c r="S25" s="143">
        <f>SUM(P25:R25)</f>
        <v>19068281.454</v>
      </c>
    </row>
    <row r="27" spans="15:19" x14ac:dyDescent="0.25">
      <c r="P27">
        <v>17040466</v>
      </c>
      <c r="Q27">
        <v>1704047</v>
      </c>
      <c r="R27">
        <v>323769</v>
      </c>
      <c r="S27">
        <f>SUM(P27:R27)</f>
        <v>19068282</v>
      </c>
    </row>
  </sheetData>
  <pageMargins left="0.7" right="0.7" top="0.75" bottom="0.75" header="0.3" footer="0.3"/>
  <ignoredErrors>
    <ignoredError sqref="S3:S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7979DC886237419866BF3F8BE9F8DA" ma:contentTypeVersion="10" ma:contentTypeDescription="Crear nuevo documento." ma:contentTypeScope="" ma:versionID="ec4aa7a3a342bf9185fafeca4d4bdc51">
  <xsd:schema xmlns:xsd="http://www.w3.org/2001/XMLSchema" xmlns:xs="http://www.w3.org/2001/XMLSchema" xmlns:p="http://schemas.microsoft.com/office/2006/metadata/properties" xmlns:ns3="7d9cd27a-2af7-4810-a909-8ad51888450a" xmlns:ns4="38498426-4652-4388-a98b-3cad126a301c" targetNamespace="http://schemas.microsoft.com/office/2006/metadata/properties" ma:root="true" ma:fieldsID="df127d3f6a9a220a66ae12a62ea9d666" ns3:_="" ns4:_="">
    <xsd:import namespace="7d9cd27a-2af7-4810-a909-8ad51888450a"/>
    <xsd:import namespace="38498426-4652-4388-a98b-3cad126a30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cd27a-2af7-4810-a909-8ad518884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98426-4652-4388-a98b-3cad126a30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BBD7DA-F905-4F32-B373-F747AF621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9cd27a-2af7-4810-a909-8ad51888450a"/>
    <ds:schemaRef ds:uri="38498426-4652-4388-a98b-3cad126a30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B0C417-A49F-4B6E-B63D-E809EFE9A2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1A8C74-FB7B-4A99-B830-0D9290AC79CB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7d9cd27a-2af7-4810-a909-8ad51888450a"/>
    <ds:schemaRef ds:uri="http://purl.org/dc/elements/1.1/"/>
    <ds:schemaRef ds:uri="38498426-4652-4388-a98b-3cad126a301c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239d5f0a-3c77-4ff3-8641-28759e72950f}" enabled="0" method="" siteId="{239d5f0a-3c77-4ff3-8641-28759e7295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EJEC PPTAL 2025</vt:lpstr>
      <vt:lpstr>SALDOS CDP2024</vt:lpstr>
      <vt:lpstr>Memorando Septiembre</vt:lpstr>
      <vt:lpstr>Memorando Junio</vt:lpstr>
      <vt:lpstr>Hoja4</vt:lpstr>
      <vt:lpstr>Resumen </vt:lpstr>
      <vt:lpstr>Hoja3</vt:lpstr>
      <vt:lpstr>RP2025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Darleny Ortega Cordoba</dc:creator>
  <cp:keywords/>
  <dc:description/>
  <cp:lastModifiedBy>Carlos Alberto Rico Estrada</cp:lastModifiedBy>
  <cp:revision/>
  <cp:lastPrinted>2024-07-31T20:39:12Z</cp:lastPrinted>
  <dcterms:created xsi:type="dcterms:W3CDTF">2020-08-12T15:13:03Z</dcterms:created>
  <dcterms:modified xsi:type="dcterms:W3CDTF">2026-04-29T20:46:58Z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0x010100A07979DC886237419866BF3F8BE9F8DA</vt:lpwstr>
  </property>
</Properties>
</file>